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site\hồ sơ công khai tài chính\"/>
    </mc:Choice>
  </mc:AlternateContent>
  <bookViews>
    <workbookView xWindow="480" yWindow="105" windowWidth="10500" windowHeight="4815"/>
  </bookViews>
  <sheets>
    <sheet name="CK thu-chi TC (31-8) 2019-2020" sheetId="8" r:id="rId1"/>
  </sheets>
  <calcPr calcId="152511"/>
</workbook>
</file>

<file path=xl/calcChain.xml><?xml version="1.0" encoding="utf-8"?>
<calcChain xmlns="http://schemas.openxmlformats.org/spreadsheetml/2006/main">
  <c r="D158" i="8" l="1"/>
  <c r="D159" i="8"/>
  <c r="D146" i="8"/>
  <c r="D145" i="8" s="1"/>
  <c r="D141" i="8"/>
  <c r="D138" i="8" s="1"/>
  <c r="D135" i="8"/>
  <c r="D133" i="8"/>
  <c r="D130" i="8"/>
  <c r="D125" i="8"/>
  <c r="D123" i="8"/>
  <c r="D120" i="8"/>
  <c r="D119" i="8"/>
  <c r="D118" i="8"/>
  <c r="D116" i="8"/>
  <c r="D113" i="8"/>
  <c r="H92" i="8"/>
  <c r="D106" i="8"/>
  <c r="D104" i="8"/>
  <c r="D101" i="8"/>
  <c r="D94" i="8"/>
  <c r="D55" i="8"/>
  <c r="D54" i="8"/>
  <c r="D53" i="8"/>
  <c r="D52" i="8"/>
  <c r="D50" i="8"/>
  <c r="D49" i="8"/>
  <c r="D48" i="8"/>
  <c r="D47" i="8"/>
  <c r="D45" i="8"/>
  <c r="D39" i="8"/>
  <c r="D122" i="8" l="1"/>
  <c r="D132" i="8"/>
  <c r="H96" i="8"/>
  <c r="D110" i="8" s="1"/>
  <c r="D79" i="8"/>
  <c r="D75" i="8"/>
  <c r="D74" i="8"/>
  <c r="D69" i="8"/>
  <c r="D68" i="8" s="1"/>
  <c r="D67" i="8"/>
  <c r="D66" i="8" s="1"/>
  <c r="D65" i="8"/>
  <c r="D64" i="8" s="1"/>
  <c r="D62" i="8"/>
  <c r="D60" i="8" s="1"/>
  <c r="D59" i="8"/>
  <c r="D57" i="8"/>
  <c r="D46" i="8"/>
  <c r="D43" i="8"/>
  <c r="D42" i="8" s="1"/>
  <c r="D38" i="8"/>
  <c r="D34" i="8"/>
  <c r="D33" i="8"/>
  <c r="D32" i="8"/>
  <c r="D31" i="8"/>
  <c r="D29" i="8"/>
  <c r="D28" i="8" s="1"/>
  <c r="D27" i="8"/>
  <c r="D26" i="8"/>
  <c r="D25" i="8"/>
  <c r="D24" i="8"/>
  <c r="D21" i="8"/>
  <c r="D19" i="8"/>
  <c r="D18" i="8"/>
  <c r="D16" i="8"/>
  <c r="D15" i="8" s="1"/>
  <c r="D175" i="8"/>
  <c r="D174" i="8" s="1"/>
  <c r="D173" i="8"/>
  <c r="D172" i="8" s="1"/>
  <c r="D171" i="8"/>
  <c r="D170" i="8" s="1"/>
  <c r="D169" i="8"/>
  <c r="D168" i="8" s="1"/>
  <c r="D166" i="8"/>
  <c r="D160" i="8" s="1"/>
  <c r="D156" i="8"/>
  <c r="D155" i="8"/>
  <c r="D154" i="8"/>
  <c r="D153" i="8"/>
  <c r="D157" i="8"/>
  <c r="D151" i="8"/>
  <c r="D150" i="8"/>
  <c r="D129" i="8"/>
  <c r="D112" i="8"/>
  <c r="D80" i="8"/>
  <c r="H12" i="8"/>
  <c r="D10" i="8"/>
  <c r="H11" i="8"/>
  <c r="D149" i="8" l="1"/>
  <c r="D117" i="8"/>
  <c r="D167" i="8"/>
  <c r="D73" i="8"/>
  <c r="D56" i="8"/>
  <c r="D51" i="8"/>
  <c r="D44" i="8"/>
  <c r="D30" i="8"/>
  <c r="D17" i="8"/>
  <c r="D111" i="8" l="1"/>
  <c r="D37" i="8"/>
  <c r="D36" i="8" s="1"/>
  <c r="D9" i="8"/>
  <c r="D92" i="8"/>
  <c r="D91" i="8" s="1"/>
  <c r="D35" i="8" l="1"/>
  <c r="H93" i="8"/>
</calcChain>
</file>

<file path=xl/sharedStrings.xml><?xml version="1.0" encoding="utf-8"?>
<sst xmlns="http://schemas.openxmlformats.org/spreadsheetml/2006/main" count="187" uniqueCount="142">
  <si>
    <t>Lương ngạch,
 bậc theo quỹ lương được duyệt</t>
  </si>
  <si>
    <t>Lương tập sự, CC dự bị</t>
  </si>
  <si>
    <t>Lương hợp đồng dài hạn</t>
  </si>
  <si>
    <t>Tiền lương</t>
  </si>
  <si>
    <t>Tiền công trả cho người lao động</t>
  </si>
  <si>
    <t>Tiền công trả cho người lao động TX</t>
  </si>
  <si>
    <t>Phụ cấp lương</t>
  </si>
  <si>
    <t>Phụ cấp chức vụ</t>
  </si>
  <si>
    <t>Phụ cấp thêm giờ</t>
  </si>
  <si>
    <t>Phụ cấp ưu đãi nghề</t>
  </si>
  <si>
    <t>Phụ cấp theo nghề, theo công việc</t>
  </si>
  <si>
    <t>Phụ cấp thâm niên nghề</t>
  </si>
  <si>
    <t>Các khỏan đóng góp</t>
  </si>
  <si>
    <t>Bảo hiểm xã hội</t>
  </si>
  <si>
    <t>Kinh phí công đòan</t>
  </si>
  <si>
    <t>Bảo hiểm y tế</t>
  </si>
  <si>
    <t>Bảo hiểm thất nghiệp</t>
  </si>
  <si>
    <t>Các khỏan thanh tóan cho cá nhân</t>
  </si>
  <si>
    <t>Chênh lệch thu nhập thực tế so với</t>
  </si>
  <si>
    <t>lương ngạch bậc, chức vụ</t>
  </si>
  <si>
    <t>Công tác phí</t>
  </si>
  <si>
    <t>Trợ cấp, phụ cấp khác</t>
  </si>
  <si>
    <t>Khóan công tác phí</t>
  </si>
  <si>
    <t>Chi khác</t>
  </si>
  <si>
    <t xml:space="preserve">Nguồn ngân sách </t>
  </si>
  <si>
    <t>I</t>
  </si>
  <si>
    <t>Ngân sách chi thường xuyên</t>
  </si>
  <si>
    <t>II</t>
  </si>
  <si>
    <t>Học phí</t>
  </si>
  <si>
    <t>III</t>
  </si>
  <si>
    <t>Nguồn thu sự nghiệp khác</t>
  </si>
  <si>
    <t>Vệ sinh bán trú</t>
  </si>
  <si>
    <t>Tiền tổ chức và phục vụ quản lý bán trú</t>
  </si>
  <si>
    <t>Tiền thiết bị, vật dụng PV hs bán trú</t>
  </si>
  <si>
    <t>Phục vụ ăn sáng</t>
  </si>
  <si>
    <t>Chi lập quỹ khen thưởng</t>
  </si>
  <si>
    <t>NGUỒN THU HỘ - CHI HỘ</t>
  </si>
  <si>
    <t>Tiền ăn trưa</t>
  </si>
  <si>
    <t>Tiền ăn sáng</t>
  </si>
  <si>
    <t>Mua thực phẩm, sữa, hòan trả</t>
  </si>
  <si>
    <t>Tẩy giun</t>
  </si>
  <si>
    <t>Tẩy giun cho trẻ mầm non</t>
  </si>
  <si>
    <t xml:space="preserve">B.PHẦN CHI </t>
  </si>
  <si>
    <t>Thu khác</t>
  </si>
  <si>
    <t>Thu hộ- chi hộ</t>
  </si>
  <si>
    <t>A.PHẦN THU</t>
  </si>
  <si>
    <t>Thu dịch vụ</t>
  </si>
  <si>
    <t>Mặt bằng</t>
  </si>
  <si>
    <t xml:space="preserve">Học phẩm </t>
  </si>
  <si>
    <t>Ngân sách chi không thường xuyên</t>
  </si>
  <si>
    <t>HIỆU TRƯỞNG</t>
  </si>
  <si>
    <t xml:space="preserve">                     Người lập biểu</t>
  </si>
  <si>
    <t xml:space="preserve">          Nguyễn Thị Tuyết Mai</t>
  </si>
  <si>
    <t>Tiểu 
mục</t>
  </si>
  <si>
    <t>Chỉ tiêu</t>
  </si>
  <si>
    <t>Mua tập vở, đồ dùng học tập , đồ chơi</t>
  </si>
  <si>
    <t>Năng khiếu anh văn</t>
  </si>
  <si>
    <t>Chi lập quỹ phúc lợi</t>
  </si>
  <si>
    <t>Chi lập quỹ phát triển hđ sự nghiệp</t>
  </si>
  <si>
    <t>Cấp bù học phí</t>
  </si>
  <si>
    <t>Ngân sách chi cải cách tiền lương</t>
  </si>
  <si>
    <t xml:space="preserve">Hổ trợ 35%, 25% </t>
  </si>
  <si>
    <t>Chi lập quỹ theo vị theo quy định</t>
  </si>
  <si>
    <t>Ngân sách chi Cải cách tiền lương</t>
  </si>
  <si>
    <t>Lương theo ngạch bậc</t>
  </si>
  <si>
    <t>Phụ cấp Chức vụ</t>
  </si>
  <si>
    <t>Phụ cấp thâm niên vượt khung</t>
  </si>
  <si>
    <t>Phụ cấp đặc biệt khác của ngành</t>
  </si>
  <si>
    <t>Chi cải cách tiền lương theo NQ 03/2018</t>
  </si>
  <si>
    <t>Thanh toán các khoản chi khác</t>
  </si>
  <si>
    <t>Thanh toán tiền phí vệ sinh</t>
  </si>
  <si>
    <t>Thanh toán tiền mua gas giặt khăn</t>
  </si>
  <si>
    <t>Thanh toán tiền phục vụ CBCNV-GV
 và hợp đồng</t>
  </si>
  <si>
    <t>Chi nộp 32% BH và 2% KPCĐ</t>
  </si>
  <si>
    <t>Tiền thuê nhân viên nuôi dưỡng</t>
  </si>
  <si>
    <t>Thanh toán tiền thuê nhân viên nuôi dưỡng</t>
  </si>
  <si>
    <t>Tiền hoạt động hồ bơi</t>
  </si>
  <si>
    <t>Thanh toán tiền phục vụ hồ bơi</t>
  </si>
  <si>
    <t xml:space="preserve">Chi khác </t>
  </si>
  <si>
    <t>Tiền giữ trẻ trong hè</t>
  </si>
  <si>
    <t>Thanh toán tiền điện</t>
  </si>
  <si>
    <t xml:space="preserve">Năng khiếu </t>
  </si>
  <si>
    <t>Thanh toán tiền mua tài liệu và bộ mầm non</t>
  </si>
  <si>
    <t>Thanh toán tiền mua văn phòng phẩm</t>
  </si>
  <si>
    <t>Chi tiền phục vụ năng khiếu thể dục,anh văn, võ thuật</t>
  </si>
  <si>
    <t>Chi tiền năng khiếu dạy anh văn, thể dục, võ thuật</t>
  </si>
  <si>
    <t>Trang bị cân điện tử</t>
  </si>
  <si>
    <t>Trang bị xe đẩy thức ăn</t>
  </si>
  <si>
    <t>Trang bị bình nước trái cây</t>
  </si>
  <si>
    <t>Trang bị xe đẩy khăn 2 tầng</t>
  </si>
  <si>
    <t>Mua đồ dùng bán trú</t>
  </si>
  <si>
    <t>Năng khiếu võ thuật</t>
  </si>
  <si>
    <t>Ngân sách chi trả TNTT theo NQ 03/2018</t>
  </si>
  <si>
    <t>Dịch vụ công cộng</t>
  </si>
  <si>
    <t>Năng khiếu thể dục</t>
  </si>
  <si>
    <t xml:space="preserve">Chi trả TNTT theo NQ03/2018 </t>
  </si>
  <si>
    <t>Hổ trợ chi phí học tập &amp; hổ trợ tiền ăn trưa</t>
  </si>
  <si>
    <t>Thanh toán tiền giữ trẻ trong hè</t>
  </si>
  <si>
    <t>Thanh toán tiền nước cơ quan</t>
  </si>
  <si>
    <t>Thanh toán tiền mua đồ dùng vệ sinh</t>
  </si>
  <si>
    <t xml:space="preserve">Nguyễn Thị Nhiều </t>
  </si>
  <si>
    <t>Biểu số 4 - Ban hành kèm theo Thông tư số 90/2018/TT-BTC ngày 28 tháng 09 năm 2018 của Bộ Tài chính</t>
  </si>
  <si>
    <t>Đơn vị: Trường Mầm Non Tuổi Ngọc</t>
  </si>
  <si>
    <t>Chương: 622</t>
  </si>
  <si>
    <t>THÔNG BÁO</t>
  </si>
  <si>
    <t>Tổng số liệu báo cáo
 quyết toán</t>
  </si>
  <si>
    <t>Tổng số liệu quyết toán
 được duyệt</t>
  </si>
  <si>
    <t>Chênh lệch</t>
  </si>
  <si>
    <r>
      <t>Số quyết toán được duyệt chi tiết từng đơn vị trực thuộc</t>
    </r>
    <r>
      <rPr>
        <sz val="9"/>
        <rFont val="Times New Roman"/>
        <family val="1"/>
      </rPr>
      <t xml:space="preserve"> (nếu có đơn vị trực thuộc)</t>
    </r>
  </si>
  <si>
    <t>Mua thực phẩm, sữa, yaourt, bánh flan,
 hòan trả</t>
  </si>
  <si>
    <t>Thu hoc phí</t>
  </si>
  <si>
    <t>Nguồn thu học phí</t>
  </si>
  <si>
    <t>(Từ ngày 01/09/2019 đến 31/8/2020)</t>
  </si>
  <si>
    <t>CÔNG KHAI THU - CHI TÀI CHÍNH NĂM HỌC 2019-2020</t>
  </si>
  <si>
    <t>Năng khiếu vẽ</t>
  </si>
  <si>
    <t>Nhân viên nuôi dưỡng</t>
  </si>
  <si>
    <t>Cước điện thoại</t>
  </si>
  <si>
    <t>Hỗ trợ Cô Nguyễn Thị Tuyết nghỉ hết tuổi lao động</t>
  </si>
  <si>
    <t>Mua 07 cái xe đấy thức ăn inox 11 khay</t>
  </si>
  <si>
    <t>Mua 06 cái bàn hội trường và 40 cái ghế hội trường</t>
  </si>
  <si>
    <t>Mua bộ cầu tuột ngoài trời bằng gỗ</t>
  </si>
  <si>
    <t>Thanh toán tiền lương cho nhân viên hợp đồng khoán và tiền làm thêm giờ cho nhân viên hợp đồng 68
 nâng lương trong đó: chi thu nhập tăng thêm 
nhân viên hợp đồng 26.200.000đ</t>
  </si>
  <si>
    <t>Mua xi măng để tráng nền, đổ bê tông sân sau nhà bếp</t>
  </si>
  <si>
    <t>Lắp đặt hệ thống mạng nội bộ toàn trường</t>
  </si>
  <si>
    <t>Mua 12 cái bàn, 26 cái ghế khối lá</t>
  </si>
  <si>
    <t>Mua sơn để sơn mặt tiền các lớp học dưới đất, sơn đồ chơi ngoài trời, sơn hàng rào cổng trường</t>
  </si>
  <si>
    <t>Thảm cỏ sân chơi của trẻ phía sau nhà bếp</t>
  </si>
  <si>
    <t>Lót gạch nền khu vực rửa chén</t>
  </si>
  <si>
    <t>Tiền điện</t>
  </si>
  <si>
    <t xml:space="preserve">Tiền nước </t>
  </si>
  <si>
    <t>Tiền điện thoại</t>
  </si>
  <si>
    <t>Quà phát thưởng cho học sinh giỏi khối Nhà trẻ, Mầm, Chồi</t>
  </si>
  <si>
    <t>Mua đồ dùng, đồ chơi cho trẻ</t>
  </si>
  <si>
    <t>Sơn vẽ trang trí các cột và sửa 05 cái tủ cặp dép</t>
  </si>
  <si>
    <t>Mua máy quét mã vạch thu tiền + phần mềm khẩu phần dinh dưỡng</t>
  </si>
  <si>
    <t>Vẽ tranh khu vực xung quanh sân sau, hồ bơi, công trường</t>
  </si>
  <si>
    <t>Thanh toán tiền mua đồ dùng vệ sinh bán trú</t>
  </si>
  <si>
    <t>Nộp thuế năm 2019</t>
  </si>
  <si>
    <t>Nộp thuế 2019</t>
  </si>
  <si>
    <t>Trích quỹ phát triển hoạt động sự nghiệp</t>
  </si>
  <si>
    <t>Trích 40% CCTL</t>
  </si>
  <si>
    <t>Ngày  07 tháng  9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</si>
</sst>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b/>
      <sz val="14"/>
      <color rgb="FF00B0F0"/>
      <name val="Times New Roman"/>
      <family val="1"/>
    </font>
    <font>
      <b/>
      <sz val="12"/>
      <color rgb="FF00B0F0"/>
      <name val="Times New Roman"/>
      <family val="1"/>
    </font>
    <font>
      <b/>
      <sz val="13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1"/>
      <color theme="1"/>
      <name val="Arial"/>
      <family val="2"/>
    </font>
    <font>
      <i/>
      <sz val="11"/>
      <color theme="1"/>
      <name val="Times New Roman"/>
      <family val="1"/>
    </font>
    <font>
      <sz val="11"/>
      <color rgb="FF0070C0"/>
      <name val="Times New Roman"/>
      <family val="1"/>
    </font>
    <font>
      <sz val="11"/>
      <color rgb="FF00B050"/>
      <name val="Times New Roman"/>
      <family val="1"/>
    </font>
    <font>
      <sz val="11"/>
      <color indexed="8"/>
      <name val="Calibri"/>
      <family val="2"/>
      <charset val="163"/>
    </font>
    <font>
      <i/>
      <sz val="12"/>
      <color indexed="8"/>
      <name val="Times New Roman"/>
      <family val="1"/>
      <charset val="163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163"/>
    </font>
    <font>
      <b/>
      <sz val="18"/>
      <color indexed="8"/>
      <name val="Times New Roman"/>
      <family val="1"/>
      <charset val="163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3" fillId="0" borderId="0"/>
  </cellStyleXfs>
  <cellXfs count="130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1" xfId="1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4" fontId="2" fillId="0" borderId="2" xfId="1" applyNumberFormat="1" applyFont="1" applyBorder="1"/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4" fontId="4" fillId="0" borderId="2" xfId="1" applyNumberFormat="1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164" fontId="6" fillId="0" borderId="2" xfId="1" applyNumberFormat="1" applyFont="1" applyBorder="1"/>
    <xf numFmtId="0" fontId="7" fillId="0" borderId="2" xfId="0" applyFont="1" applyBorder="1"/>
    <xf numFmtId="164" fontId="7" fillId="0" borderId="2" xfId="1" applyNumberFormat="1" applyFont="1" applyBorder="1"/>
    <xf numFmtId="164" fontId="3" fillId="0" borderId="2" xfId="1" applyNumberFormat="1" applyFont="1" applyBorder="1"/>
    <xf numFmtId="0" fontId="8" fillId="0" borderId="2" xfId="0" applyFont="1" applyBorder="1"/>
    <xf numFmtId="0" fontId="2" fillId="0" borderId="3" xfId="0" applyFont="1" applyBorder="1"/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164" fontId="11" fillId="0" borderId="2" xfId="1" applyNumberFormat="1" applyFont="1" applyBorder="1"/>
    <xf numFmtId="0" fontId="3" fillId="0" borderId="2" xfId="0" applyFont="1" applyBorder="1"/>
    <xf numFmtId="0" fontId="2" fillId="0" borderId="2" xfId="0" applyFont="1" applyBorder="1" applyAlignment="1"/>
    <xf numFmtId="0" fontId="12" fillId="0" borderId="2" xfId="0" applyFont="1" applyBorder="1"/>
    <xf numFmtId="0" fontId="6" fillId="0" borderId="2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1" fillId="0" borderId="2" xfId="0" applyFont="1" applyBorder="1" applyProtection="1">
      <protection locked="0"/>
    </xf>
    <xf numFmtId="164" fontId="11" fillId="0" borderId="2" xfId="1" applyNumberFormat="1" applyFont="1" applyBorder="1" applyProtection="1">
      <protection locked="0"/>
    </xf>
    <xf numFmtId="0" fontId="0" fillId="0" borderId="2" xfId="0" applyBorder="1" applyProtection="1">
      <protection locked="0"/>
    </xf>
    <xf numFmtId="0" fontId="2" fillId="0" borderId="2" xfId="0" applyFont="1" applyBorder="1" applyProtection="1">
      <protection locked="0"/>
    </xf>
    <xf numFmtId="0" fontId="3" fillId="0" borderId="2" xfId="0" applyFont="1" applyBorder="1" applyProtection="1">
      <protection locked="0"/>
    </xf>
    <xf numFmtId="164" fontId="3" fillId="0" borderId="2" xfId="1" applyNumberFormat="1" applyFont="1" applyBorder="1" applyProtection="1">
      <protection locked="0"/>
    </xf>
    <xf numFmtId="164" fontId="2" fillId="0" borderId="2" xfId="1" applyNumberFormat="1" applyFont="1" applyBorder="1" applyProtection="1">
      <protection locked="0"/>
    </xf>
    <xf numFmtId="0" fontId="13" fillId="0" borderId="2" xfId="0" applyFont="1" applyBorder="1" applyProtection="1">
      <protection locked="0"/>
    </xf>
    <xf numFmtId="164" fontId="3" fillId="0" borderId="2" xfId="0" applyNumberFormat="1" applyFont="1" applyBorder="1" applyProtection="1">
      <protection locked="0"/>
    </xf>
    <xf numFmtId="164" fontId="12" fillId="0" borderId="2" xfId="1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4" fontId="7" fillId="0" borderId="1" xfId="1" applyNumberFormat="1" applyFont="1" applyBorder="1"/>
    <xf numFmtId="0" fontId="2" fillId="0" borderId="8" xfId="0" applyFont="1" applyBorder="1" applyProtection="1">
      <protection locked="0"/>
    </xf>
    <xf numFmtId="0" fontId="0" fillId="0" borderId="8" xfId="0" applyFont="1" applyBorder="1" applyProtection="1">
      <protection locked="0"/>
    </xf>
    <xf numFmtId="164" fontId="2" fillId="0" borderId="8" xfId="1" applyNumberFormat="1" applyFont="1" applyBorder="1" applyProtection="1"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1" applyNumberFormat="1" applyFont="1" applyBorder="1"/>
    <xf numFmtId="0" fontId="3" fillId="0" borderId="2" xfId="0" applyFont="1" applyBorder="1" applyAlignment="1">
      <alignment horizontal="center"/>
    </xf>
    <xf numFmtId="0" fontId="0" fillId="0" borderId="1" xfId="0" applyBorder="1"/>
    <xf numFmtId="0" fontId="3" fillId="0" borderId="0" xfId="0" applyFont="1" applyAlignment="1"/>
    <xf numFmtId="164" fontId="15" fillId="0" borderId="1" xfId="0" applyNumberFormat="1" applyFont="1" applyBorder="1" applyProtection="1">
      <protection locked="0"/>
    </xf>
    <xf numFmtId="0" fontId="2" fillId="0" borderId="9" xfId="0" applyFont="1" applyBorder="1"/>
    <xf numFmtId="164" fontId="2" fillId="0" borderId="9" xfId="1" applyNumberFormat="1" applyFont="1" applyBorder="1"/>
    <xf numFmtId="164" fontId="2" fillId="0" borderId="3" xfId="1" applyNumberFormat="1" applyFont="1" applyBorder="1"/>
    <xf numFmtId="0" fontId="7" fillId="0" borderId="9" xfId="0" applyFont="1" applyBorder="1"/>
    <xf numFmtId="164" fontId="7" fillId="0" borderId="9" xfId="1" applyNumberFormat="1" applyFont="1" applyBorder="1"/>
    <xf numFmtId="164" fontId="8" fillId="0" borderId="2" xfId="1" applyNumberFormat="1" applyFont="1" applyBorder="1"/>
    <xf numFmtId="164" fontId="18" fillId="0" borderId="2" xfId="1" applyNumberFormat="1" applyFont="1" applyBorder="1"/>
    <xf numFmtId="164" fontId="2" fillId="0" borderId="0" xfId="0" applyNumberFormat="1" applyFont="1"/>
    <xf numFmtId="0" fontId="8" fillId="0" borderId="2" xfId="0" applyFont="1" applyBorder="1" applyAlignment="1">
      <alignment horizontal="center"/>
    </xf>
    <xf numFmtId="0" fontId="11" fillId="0" borderId="2" xfId="0" applyFont="1" applyBorder="1" applyAlignment="1">
      <alignment wrapText="1"/>
    </xf>
    <xf numFmtId="0" fontId="19" fillId="0" borderId="0" xfId="0" applyFont="1"/>
    <xf numFmtId="0" fontId="20" fillId="0" borderId="2" xfId="0" applyFont="1" applyBorder="1"/>
    <xf numFmtId="0" fontId="0" fillId="0" borderId="0" xfId="0" applyFont="1"/>
    <xf numFmtId="0" fontId="20" fillId="0" borderId="2" xfId="0" applyFont="1" applyBorder="1" applyAlignment="1">
      <alignment horizontal="center"/>
    </xf>
    <xf numFmtId="0" fontId="20" fillId="0" borderId="0" xfId="0" applyFont="1"/>
    <xf numFmtId="164" fontId="20" fillId="0" borderId="0" xfId="1" applyNumberFormat="1" applyFont="1"/>
    <xf numFmtId="164" fontId="21" fillId="0" borderId="2" xfId="1" applyNumberFormat="1" applyFont="1" applyBorder="1"/>
    <xf numFmtId="0" fontId="20" fillId="0" borderId="2" xfId="0" applyFont="1" applyBorder="1" applyAlignment="1">
      <alignment wrapText="1"/>
    </xf>
    <xf numFmtId="164" fontId="20" fillId="0" borderId="2" xfId="1" applyNumberFormat="1" applyFont="1" applyBorder="1"/>
    <xf numFmtId="164" fontId="2" fillId="0" borderId="0" xfId="1" applyNumberFormat="1" applyFont="1"/>
    <xf numFmtId="164" fontId="22" fillId="0" borderId="2" xfId="1" applyNumberFormat="1" applyFont="1" applyBorder="1"/>
    <xf numFmtId="0" fontId="25" fillId="0" borderId="0" xfId="0" applyFont="1" applyAlignment="1"/>
    <xf numFmtId="0" fontId="0" fillId="0" borderId="2" xfId="0" applyBorder="1"/>
    <xf numFmtId="164" fontId="2" fillId="0" borderId="2" xfId="0" applyNumberFormat="1" applyFont="1" applyBorder="1"/>
    <xf numFmtId="0" fontId="2" fillId="0" borderId="10" xfId="0" applyFont="1" applyBorder="1"/>
    <xf numFmtId="0" fontId="2" fillId="2" borderId="2" xfId="0" applyFont="1" applyFill="1" applyBorder="1"/>
    <xf numFmtId="164" fontId="2" fillId="2" borderId="2" xfId="1" applyNumberFormat="1" applyFont="1" applyFill="1" applyBorder="1"/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3" fillId="0" borderId="8" xfId="0" applyFont="1" applyBorder="1" applyProtection="1">
      <protection locked="0"/>
    </xf>
    <xf numFmtId="164" fontId="3" fillId="0" borderId="8" xfId="1" applyNumberFormat="1" applyFont="1" applyBorder="1" applyProtection="1">
      <protection locked="0"/>
    </xf>
    <xf numFmtId="164" fontId="2" fillId="0" borderId="8" xfId="0" applyNumberFormat="1" applyFont="1" applyBorder="1" applyProtection="1">
      <protection locked="0"/>
    </xf>
    <xf numFmtId="0" fontId="2" fillId="0" borderId="8" xfId="0" applyFont="1" applyBorder="1"/>
    <xf numFmtId="0" fontId="0" fillId="0" borderId="8" xfId="0" applyBorder="1"/>
    <xf numFmtId="0" fontId="2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 wrapText="1"/>
    </xf>
    <xf numFmtId="0" fontId="3" fillId="0" borderId="4" xfId="0" applyFont="1" applyBorder="1" applyAlignment="1"/>
    <xf numFmtId="0" fontId="0" fillId="0" borderId="4" xfId="0" applyBorder="1"/>
    <xf numFmtId="164" fontId="2" fillId="0" borderId="8" xfId="1" applyNumberFormat="1" applyFont="1" applyBorder="1"/>
    <xf numFmtId="0" fontId="0" fillId="0" borderId="10" xfId="0" applyBorder="1"/>
    <xf numFmtId="0" fontId="2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164" fontId="8" fillId="0" borderId="8" xfId="1" applyNumberFormat="1" applyFont="1" applyBorder="1"/>
    <xf numFmtId="164" fontId="2" fillId="0" borderId="1" xfId="0" applyNumberFormat="1" applyFont="1" applyBorder="1"/>
    <xf numFmtId="164" fontId="10" fillId="0" borderId="3" xfId="0" applyNumberFormat="1" applyFont="1" applyBorder="1"/>
    <xf numFmtId="0" fontId="0" fillId="0" borderId="3" xfId="0" applyBorder="1"/>
    <xf numFmtId="0" fontId="11" fillId="0" borderId="10" xfId="0" applyFont="1" applyBorder="1" applyProtection="1">
      <protection locked="0"/>
    </xf>
    <xf numFmtId="164" fontId="11" fillId="0" borderId="10" xfId="1" applyNumberFormat="1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0" xfId="0" applyFont="1" applyBorder="1"/>
    <xf numFmtId="164" fontId="2" fillId="0" borderId="0" xfId="1" applyNumberFormat="1" applyFont="1" applyBorder="1"/>
    <xf numFmtId="0" fontId="2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wrapText="1"/>
    </xf>
    <xf numFmtId="164" fontId="11" fillId="2" borderId="2" xfId="1" applyNumberFormat="1" applyFont="1" applyFill="1" applyBorder="1"/>
    <xf numFmtId="0" fontId="2" fillId="2" borderId="0" xfId="0" applyFont="1" applyFill="1"/>
    <xf numFmtId="0" fontId="0" fillId="2" borderId="0" xfId="0" applyFill="1"/>
    <xf numFmtId="3" fontId="2" fillId="0" borderId="0" xfId="0" applyNumberFormat="1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4" fillId="0" borderId="0" xfId="2" applyFont="1" applyAlignment="1">
      <alignment horizontal="left"/>
    </xf>
    <xf numFmtId="0" fontId="17" fillId="0" borderId="0" xfId="0" applyFont="1" applyAlignment="1">
      <alignment horizontal="center"/>
    </xf>
    <xf numFmtId="0" fontId="27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_Sheet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6"/>
  <sheetViews>
    <sheetView tabSelected="1" topLeftCell="A100" workbookViewId="0">
      <selection activeCell="I63" sqref="I63"/>
    </sheetView>
  </sheetViews>
  <sheetFormatPr defaultRowHeight="14.25" x14ac:dyDescent="0.2"/>
  <cols>
    <col min="1" max="1" width="3.125" customWidth="1"/>
    <col min="2" max="2" width="4.375" customWidth="1"/>
    <col min="3" max="3" width="35.625" customWidth="1"/>
    <col min="4" max="4" width="14.875" customWidth="1"/>
    <col min="5" max="5" width="11.875" customWidth="1"/>
    <col min="6" max="6" width="6.625" customWidth="1"/>
    <col min="7" max="7" width="12.875" customWidth="1"/>
    <col min="8" max="8" width="12.375" customWidth="1"/>
  </cols>
  <sheetData>
    <row r="1" spans="1:9" ht="21.95" customHeight="1" x14ac:dyDescent="0.25">
      <c r="A1" s="117" t="s">
        <v>101</v>
      </c>
      <c r="B1" s="117"/>
      <c r="C1" s="117"/>
      <c r="D1" s="117"/>
      <c r="E1" s="117"/>
      <c r="F1" s="117"/>
      <c r="G1" s="117"/>
    </row>
    <row r="2" spans="1:9" ht="21.95" customHeight="1" x14ac:dyDescent="0.25">
      <c r="A2" s="72" t="s">
        <v>102</v>
      </c>
      <c r="B2" s="2"/>
      <c r="C2" s="2"/>
      <c r="D2" s="118"/>
      <c r="E2" s="118"/>
      <c r="F2" s="49"/>
    </row>
    <row r="3" spans="1:9" ht="21.95" customHeight="1" x14ac:dyDescent="0.25">
      <c r="A3" s="72" t="s">
        <v>103</v>
      </c>
      <c r="B3" s="1"/>
      <c r="C3" s="1"/>
      <c r="D3" s="1"/>
      <c r="E3" s="1"/>
      <c r="F3" s="1"/>
    </row>
    <row r="4" spans="1:9" ht="21.95" customHeight="1" x14ac:dyDescent="0.3">
      <c r="A4" s="119" t="s">
        <v>104</v>
      </c>
      <c r="B4" s="119"/>
      <c r="C4" s="119"/>
      <c r="D4" s="119"/>
      <c r="E4" s="119"/>
      <c r="F4" s="119"/>
      <c r="G4" s="119"/>
    </row>
    <row r="5" spans="1:9" ht="21.95" customHeight="1" x14ac:dyDescent="0.3">
      <c r="A5" s="120" t="s">
        <v>113</v>
      </c>
      <c r="B5" s="120"/>
      <c r="C5" s="120"/>
      <c r="D5" s="120"/>
      <c r="E5" s="120"/>
      <c r="F5" s="120"/>
      <c r="G5" s="120"/>
    </row>
    <row r="6" spans="1:9" ht="21.95" customHeight="1" x14ac:dyDescent="0.3">
      <c r="A6" s="120" t="s">
        <v>112</v>
      </c>
      <c r="B6" s="120"/>
      <c r="C6" s="120"/>
      <c r="D6" s="120"/>
      <c r="E6" s="120"/>
      <c r="F6" s="120"/>
      <c r="G6" s="120"/>
    </row>
    <row r="7" spans="1:9" ht="21.95" customHeight="1" x14ac:dyDescent="0.3">
      <c r="A7" s="121"/>
      <c r="B7" s="121"/>
      <c r="C7" s="121"/>
      <c r="D7" s="121"/>
      <c r="E7" s="121"/>
      <c r="F7" s="90"/>
      <c r="G7" s="91"/>
    </row>
    <row r="8" spans="1:9" ht="122.25" customHeight="1" x14ac:dyDescent="0.25">
      <c r="A8" s="86"/>
      <c r="B8" s="87" t="s">
        <v>53</v>
      </c>
      <c r="C8" s="88" t="s">
        <v>54</v>
      </c>
      <c r="D8" s="89" t="s">
        <v>105</v>
      </c>
      <c r="E8" s="89" t="s">
        <v>106</v>
      </c>
      <c r="F8" s="89" t="s">
        <v>107</v>
      </c>
      <c r="G8" s="89" t="s">
        <v>108</v>
      </c>
    </row>
    <row r="9" spans="1:9" ht="27" customHeight="1" x14ac:dyDescent="0.3">
      <c r="A9" s="122" t="s">
        <v>45</v>
      </c>
      <c r="B9" s="123"/>
      <c r="C9" s="124"/>
      <c r="D9" s="50">
        <f>D10+D15+D17+D28+D30</f>
        <v>16966060124</v>
      </c>
      <c r="E9" s="37"/>
      <c r="F9" s="85"/>
      <c r="G9" s="48"/>
    </row>
    <row r="10" spans="1:9" ht="38.1" customHeight="1" x14ac:dyDescent="0.25">
      <c r="A10" s="79">
        <v>1</v>
      </c>
      <c r="B10" s="41"/>
      <c r="C10" s="80" t="s">
        <v>24</v>
      </c>
      <c r="D10" s="81">
        <f>D11+D13+D12+D14</f>
        <v>10643808000</v>
      </c>
      <c r="E10" s="82"/>
      <c r="F10" s="83"/>
      <c r="G10" s="84"/>
    </row>
    <row r="11" spans="1:9" ht="38.1" customHeight="1" x14ac:dyDescent="0.25">
      <c r="A11" s="42"/>
      <c r="B11" s="41"/>
      <c r="C11" s="41" t="s">
        <v>26</v>
      </c>
      <c r="D11" s="43">
        <v>7833766000</v>
      </c>
      <c r="E11" s="30"/>
      <c r="F11" s="5"/>
      <c r="G11" s="73"/>
      <c r="H11">
        <f>522114583-490522053</f>
        <v>31592530</v>
      </c>
    </row>
    <row r="12" spans="1:9" ht="38.1" customHeight="1" x14ac:dyDescent="0.25">
      <c r="A12" s="42"/>
      <c r="B12" s="41"/>
      <c r="C12" s="41" t="s">
        <v>60</v>
      </c>
      <c r="D12" s="43">
        <v>72387000</v>
      </c>
      <c r="E12" s="30"/>
      <c r="F12" s="5"/>
      <c r="G12" s="73"/>
      <c r="H12">
        <f>1408460499-1352019618</f>
        <v>56440881</v>
      </c>
    </row>
    <row r="13" spans="1:9" ht="38.1" customHeight="1" x14ac:dyDescent="0.25">
      <c r="A13" s="42"/>
      <c r="B13" s="41"/>
      <c r="C13" s="41" t="s">
        <v>49</v>
      </c>
      <c r="D13" s="43">
        <v>95145000</v>
      </c>
      <c r="E13" s="30"/>
      <c r="F13" s="5"/>
      <c r="G13" s="73"/>
      <c r="I13" s="78"/>
    </row>
    <row r="14" spans="1:9" ht="38.1" customHeight="1" x14ac:dyDescent="0.25">
      <c r="A14" s="42"/>
      <c r="B14" s="41"/>
      <c r="C14" s="41" t="s">
        <v>92</v>
      </c>
      <c r="D14" s="43">
        <v>2642510000</v>
      </c>
      <c r="E14" s="30"/>
      <c r="F14" s="5"/>
      <c r="G14" s="73"/>
    </row>
    <row r="15" spans="1:9" ht="38.1" customHeight="1" x14ac:dyDescent="0.25">
      <c r="A15" s="29">
        <v>2</v>
      </c>
      <c r="B15" s="30"/>
      <c r="C15" s="31" t="s">
        <v>110</v>
      </c>
      <c r="D15" s="32">
        <f>D16</f>
        <v>661420000</v>
      </c>
      <c r="E15" s="30"/>
      <c r="F15" s="5"/>
      <c r="G15" s="73"/>
    </row>
    <row r="16" spans="1:9" ht="38.1" customHeight="1" x14ac:dyDescent="0.25">
      <c r="A16" s="29"/>
      <c r="B16" s="30"/>
      <c r="C16" s="25" t="s">
        <v>28</v>
      </c>
      <c r="D16" s="33">
        <f>404480000+256940000</f>
        <v>661420000</v>
      </c>
      <c r="E16" s="30"/>
      <c r="F16" s="5"/>
      <c r="G16" s="73"/>
    </row>
    <row r="17" spans="1:7" ht="38.1" customHeight="1" x14ac:dyDescent="0.25">
      <c r="A17" s="34">
        <v>3</v>
      </c>
      <c r="B17" s="26"/>
      <c r="C17" s="26" t="s">
        <v>43</v>
      </c>
      <c r="D17" s="35">
        <f>SUM(D18:D27)</f>
        <v>2498430124</v>
      </c>
      <c r="E17" s="30"/>
      <c r="F17" s="5"/>
      <c r="G17" s="73"/>
    </row>
    <row r="18" spans="1:7" ht="38.1" customHeight="1" x14ac:dyDescent="0.25">
      <c r="A18" s="29"/>
      <c r="B18" s="30"/>
      <c r="C18" s="25" t="s">
        <v>31</v>
      </c>
      <c r="D18" s="33">
        <f>49780000+44298150</f>
        <v>94078150</v>
      </c>
      <c r="E18" s="30"/>
      <c r="F18" s="5"/>
      <c r="G18" s="73"/>
    </row>
    <row r="19" spans="1:7" ht="38.1" customHeight="1" x14ac:dyDescent="0.25">
      <c r="A19" s="29"/>
      <c r="B19" s="30"/>
      <c r="C19" s="25" t="s">
        <v>32</v>
      </c>
      <c r="D19" s="33">
        <f>667560000+646581974</f>
        <v>1314141974</v>
      </c>
      <c r="E19" s="30"/>
      <c r="F19" s="5"/>
      <c r="G19" s="73"/>
    </row>
    <row r="20" spans="1:7" ht="38.1" customHeight="1" x14ac:dyDescent="0.25">
      <c r="A20" s="29"/>
      <c r="B20" s="30"/>
      <c r="C20" s="25" t="s">
        <v>33</v>
      </c>
      <c r="D20" s="33">
        <v>128000000</v>
      </c>
      <c r="E20" s="30"/>
      <c r="F20" s="5"/>
      <c r="G20" s="73"/>
    </row>
    <row r="21" spans="1:7" ht="38.1" customHeight="1" x14ac:dyDescent="0.25">
      <c r="A21" s="29"/>
      <c r="B21" s="30"/>
      <c r="C21" s="25" t="s">
        <v>34</v>
      </c>
      <c r="D21" s="33">
        <f>367950000+208800000</f>
        <v>576750000</v>
      </c>
      <c r="E21" s="30"/>
      <c r="F21" s="5"/>
      <c r="G21" s="73"/>
    </row>
    <row r="22" spans="1:7" ht="38.1" customHeight="1" x14ac:dyDescent="0.25">
      <c r="A22" s="29"/>
      <c r="B22" s="30"/>
      <c r="C22" s="25" t="s">
        <v>115</v>
      </c>
      <c r="D22" s="33">
        <v>44280000</v>
      </c>
      <c r="E22" s="30"/>
      <c r="F22" s="5"/>
      <c r="G22" s="73"/>
    </row>
    <row r="23" spans="1:7" ht="38.1" customHeight="1" x14ac:dyDescent="0.25">
      <c r="A23" s="29"/>
      <c r="B23" s="30"/>
      <c r="C23" s="25" t="s">
        <v>79</v>
      </c>
      <c r="D23" s="33">
        <v>163230000</v>
      </c>
      <c r="E23" s="30"/>
      <c r="F23" s="5"/>
      <c r="G23" s="73"/>
    </row>
    <row r="24" spans="1:7" ht="38.1" customHeight="1" x14ac:dyDescent="0.25">
      <c r="A24" s="29"/>
      <c r="B24" s="30"/>
      <c r="C24" s="25" t="s">
        <v>56</v>
      </c>
      <c r="D24" s="33">
        <f>56800000+9625000</f>
        <v>66425000</v>
      </c>
      <c r="E24" s="30"/>
      <c r="F24" s="5"/>
      <c r="G24" s="73"/>
    </row>
    <row r="25" spans="1:7" ht="38.1" customHeight="1" x14ac:dyDescent="0.25">
      <c r="A25" s="29"/>
      <c r="B25" s="30"/>
      <c r="C25" s="25" t="s">
        <v>94</v>
      </c>
      <c r="D25" s="33">
        <f>45800000+7725000</f>
        <v>53525000</v>
      </c>
      <c r="E25" s="30"/>
      <c r="F25" s="5"/>
      <c r="G25" s="73"/>
    </row>
    <row r="26" spans="1:7" ht="38.1" customHeight="1" x14ac:dyDescent="0.25">
      <c r="A26" s="29"/>
      <c r="B26" s="30"/>
      <c r="C26" s="25" t="s">
        <v>91</v>
      </c>
      <c r="D26" s="33">
        <f>20600000+3625000</f>
        <v>24225000</v>
      </c>
      <c r="E26" s="30"/>
      <c r="F26" s="5"/>
      <c r="G26" s="73"/>
    </row>
    <row r="27" spans="1:7" ht="38.1" customHeight="1" x14ac:dyDescent="0.25">
      <c r="A27" s="29"/>
      <c r="B27" s="30"/>
      <c r="C27" s="25" t="s">
        <v>114</v>
      </c>
      <c r="D27" s="33">
        <f>26950000+6825000</f>
        <v>33775000</v>
      </c>
      <c r="E27" s="30"/>
      <c r="F27" s="5"/>
      <c r="G27" s="73"/>
    </row>
    <row r="28" spans="1:7" ht="38.1" customHeight="1" x14ac:dyDescent="0.25">
      <c r="A28" s="34">
        <v>4</v>
      </c>
      <c r="B28" s="26"/>
      <c r="C28" s="26" t="s">
        <v>46</v>
      </c>
      <c r="D28" s="36">
        <f>D29</f>
        <v>35600000</v>
      </c>
      <c r="E28" s="30"/>
      <c r="F28" s="5"/>
      <c r="G28" s="73"/>
    </row>
    <row r="29" spans="1:7" ht="38.1" customHeight="1" x14ac:dyDescent="0.25">
      <c r="A29" s="29"/>
      <c r="B29" s="30"/>
      <c r="C29" s="25" t="s">
        <v>47</v>
      </c>
      <c r="D29" s="33">
        <f>35600000</f>
        <v>35600000</v>
      </c>
      <c r="E29" s="30"/>
      <c r="F29" s="5"/>
      <c r="G29" s="73"/>
    </row>
    <row r="30" spans="1:7" ht="38.1" customHeight="1" x14ac:dyDescent="0.25">
      <c r="A30" s="34">
        <v>5</v>
      </c>
      <c r="B30" s="26"/>
      <c r="C30" s="26" t="s">
        <v>44</v>
      </c>
      <c r="D30" s="35">
        <f>SUM(D31:D34)</f>
        <v>3126802000</v>
      </c>
      <c r="E30" s="30"/>
      <c r="F30" s="5"/>
      <c r="G30" s="73"/>
    </row>
    <row r="31" spans="1:7" ht="38.1" customHeight="1" x14ac:dyDescent="0.25">
      <c r="A31" s="27">
        <v>1</v>
      </c>
      <c r="B31" s="27"/>
      <c r="C31" s="27" t="s">
        <v>37</v>
      </c>
      <c r="D31" s="28">
        <f>1441770000+797040000</f>
        <v>2238810000</v>
      </c>
      <c r="E31" s="30"/>
      <c r="F31" s="5"/>
      <c r="G31" s="73"/>
    </row>
    <row r="32" spans="1:7" ht="38.1" customHeight="1" x14ac:dyDescent="0.25">
      <c r="A32" s="27">
        <v>2</v>
      </c>
      <c r="B32" s="27"/>
      <c r="C32" s="27" t="s">
        <v>38</v>
      </c>
      <c r="D32" s="28">
        <f>489030000+253130000</f>
        <v>742160000</v>
      </c>
      <c r="E32" s="30"/>
      <c r="F32" s="5"/>
      <c r="G32" s="73"/>
    </row>
    <row r="33" spans="1:12" ht="38.1" customHeight="1" x14ac:dyDescent="0.25">
      <c r="A33" s="27">
        <v>3</v>
      </c>
      <c r="B33" s="27"/>
      <c r="C33" s="27" t="s">
        <v>40</v>
      </c>
      <c r="D33" s="28">
        <f>4184000+3048000</f>
        <v>7232000</v>
      </c>
      <c r="E33" s="30"/>
      <c r="F33" s="5"/>
      <c r="G33" s="73"/>
    </row>
    <row r="34" spans="1:12" ht="38.1" customHeight="1" x14ac:dyDescent="0.25">
      <c r="A34" s="101">
        <v>4</v>
      </c>
      <c r="B34" s="101"/>
      <c r="C34" s="101" t="s">
        <v>48</v>
      </c>
      <c r="D34" s="102">
        <f>138380000+220000</f>
        <v>138600000</v>
      </c>
      <c r="E34" s="103"/>
      <c r="F34" s="75"/>
      <c r="G34" s="93"/>
    </row>
    <row r="35" spans="1:12" ht="38.1" customHeight="1" x14ac:dyDescent="0.3">
      <c r="A35" s="125" t="s">
        <v>42</v>
      </c>
      <c r="B35" s="125"/>
      <c r="C35" s="126"/>
      <c r="D35" s="99">
        <f>D36+D91+D111+D167</f>
        <v>14702898395.5</v>
      </c>
      <c r="E35" s="100"/>
      <c r="F35" s="100"/>
      <c r="G35" s="100"/>
    </row>
    <row r="36" spans="1:12" ht="38.1" customHeight="1" x14ac:dyDescent="0.25">
      <c r="A36" s="38" t="s">
        <v>25</v>
      </c>
      <c r="B36" s="38"/>
      <c r="C36" s="39" t="s">
        <v>24</v>
      </c>
      <c r="D36" s="40">
        <f>D37+D73</f>
        <v>7332976765.5</v>
      </c>
      <c r="E36" s="3"/>
      <c r="F36" s="85"/>
      <c r="G36" s="85"/>
      <c r="H36" s="1"/>
      <c r="I36" s="1"/>
      <c r="J36" s="1"/>
      <c r="K36" s="1"/>
      <c r="L36" s="1"/>
    </row>
    <row r="37" spans="1:12" ht="38.1" customHeight="1" x14ac:dyDescent="0.25">
      <c r="A37" s="44">
        <v>1</v>
      </c>
      <c r="B37" s="44"/>
      <c r="C37" s="45" t="s">
        <v>26</v>
      </c>
      <c r="D37" s="46">
        <f>SUM(D38:D71)/2</f>
        <v>7173174565.5</v>
      </c>
      <c r="E37" s="3"/>
      <c r="F37" s="98"/>
      <c r="G37" s="85"/>
      <c r="H37" s="1"/>
      <c r="I37" s="1"/>
      <c r="J37" s="1"/>
      <c r="K37" s="1"/>
      <c r="L37" s="1"/>
    </row>
    <row r="38" spans="1:12" ht="38.1" customHeight="1" x14ac:dyDescent="0.25">
      <c r="A38" s="94"/>
      <c r="B38" s="95"/>
      <c r="C38" s="96" t="s">
        <v>3</v>
      </c>
      <c r="D38" s="97">
        <f>D39+D40+D41</f>
        <v>2385547917</v>
      </c>
      <c r="E38" s="92"/>
      <c r="F38" s="83"/>
      <c r="G38" s="83"/>
      <c r="H38" s="1"/>
      <c r="I38" s="1"/>
      <c r="J38" s="1"/>
      <c r="K38" s="1"/>
      <c r="L38" s="1"/>
    </row>
    <row r="39" spans="1:12" ht="38.1" customHeight="1" x14ac:dyDescent="0.25">
      <c r="A39" s="4"/>
      <c r="B39" s="4">
        <v>6001</v>
      </c>
      <c r="C39" s="7" t="s">
        <v>0</v>
      </c>
      <c r="D39" s="6">
        <f>843540439+1868341389+24763800-351097711</f>
        <v>2385547917</v>
      </c>
      <c r="E39" s="6"/>
      <c r="F39" s="5"/>
      <c r="G39" s="5"/>
      <c r="H39" s="1"/>
      <c r="I39" s="1"/>
      <c r="J39" s="1"/>
      <c r="K39" s="1"/>
      <c r="L39" s="1"/>
    </row>
    <row r="40" spans="1:12" ht="38.1" customHeight="1" x14ac:dyDescent="0.25">
      <c r="A40" s="4"/>
      <c r="B40" s="4">
        <v>6002</v>
      </c>
      <c r="C40" s="5" t="s">
        <v>1</v>
      </c>
      <c r="D40" s="6"/>
      <c r="E40" s="6"/>
      <c r="F40" s="5"/>
      <c r="G40" s="5"/>
      <c r="H40" s="1"/>
      <c r="I40" s="1"/>
      <c r="J40" s="1"/>
      <c r="K40" s="1"/>
      <c r="L40" s="1"/>
    </row>
    <row r="41" spans="1:12" ht="38.1" customHeight="1" x14ac:dyDescent="0.25">
      <c r="A41" s="4"/>
      <c r="B41" s="4">
        <v>6003</v>
      </c>
      <c r="C41" s="5" t="s">
        <v>2</v>
      </c>
      <c r="D41" s="6"/>
      <c r="E41" s="6"/>
      <c r="F41" s="5"/>
      <c r="G41" s="5"/>
      <c r="H41" s="1"/>
      <c r="I41" s="1"/>
      <c r="J41" s="1"/>
      <c r="K41" s="1"/>
      <c r="L41" s="1"/>
    </row>
    <row r="42" spans="1:12" ht="38.1" customHeight="1" x14ac:dyDescent="0.25">
      <c r="A42" s="4"/>
      <c r="B42" s="8"/>
      <c r="C42" s="9" t="s">
        <v>4</v>
      </c>
      <c r="D42" s="56">
        <f>D43</f>
        <v>258384800</v>
      </c>
      <c r="E42" s="6"/>
      <c r="F42" s="5"/>
      <c r="G42" s="5"/>
      <c r="H42" s="1"/>
      <c r="I42" s="1"/>
      <c r="J42" s="1"/>
      <c r="K42" s="1"/>
      <c r="L42" s="1"/>
    </row>
    <row r="43" spans="1:12" ht="38.1" customHeight="1" x14ac:dyDescent="0.25">
      <c r="A43" s="4"/>
      <c r="B43" s="4">
        <v>6051</v>
      </c>
      <c r="C43" s="5" t="s">
        <v>5</v>
      </c>
      <c r="D43" s="6">
        <f>158733000+99651800</f>
        <v>258384800</v>
      </c>
      <c r="E43" s="6"/>
      <c r="F43" s="5"/>
      <c r="G43" s="5"/>
      <c r="H43" s="1"/>
      <c r="I43" s="1"/>
      <c r="J43" s="1"/>
      <c r="K43" s="1"/>
      <c r="L43" s="1"/>
    </row>
    <row r="44" spans="1:12" ht="38.1" customHeight="1" x14ac:dyDescent="0.25">
      <c r="A44" s="4"/>
      <c r="B44" s="8"/>
      <c r="C44" s="9" t="s">
        <v>6</v>
      </c>
      <c r="D44" s="56">
        <f>SUM(D45:D50)</f>
        <v>2292077817</v>
      </c>
      <c r="E44" s="6"/>
      <c r="F44" s="5"/>
      <c r="G44" s="5"/>
      <c r="H44" s="1"/>
      <c r="I44" s="1"/>
      <c r="J44" s="1"/>
      <c r="K44" s="1"/>
      <c r="L44" s="1"/>
    </row>
    <row r="45" spans="1:12" ht="38.1" customHeight="1" x14ac:dyDescent="0.25">
      <c r="A45" s="4"/>
      <c r="B45" s="4">
        <v>6101</v>
      </c>
      <c r="C45" s="5" t="s">
        <v>7</v>
      </c>
      <c r="D45" s="6">
        <f>15359501+27341500+107900-5138000</f>
        <v>37670901</v>
      </c>
      <c r="E45" s="6"/>
      <c r="F45" s="5"/>
      <c r="G45" s="5"/>
      <c r="H45" s="1"/>
      <c r="I45" s="1"/>
      <c r="J45" s="1"/>
      <c r="K45" s="1"/>
      <c r="L45" s="1"/>
    </row>
    <row r="46" spans="1:12" ht="38.1" customHeight="1" x14ac:dyDescent="0.25">
      <c r="A46" s="4"/>
      <c r="B46" s="4">
        <v>6106</v>
      </c>
      <c r="C46" s="5" t="s">
        <v>8</v>
      </c>
      <c r="D46" s="6">
        <f>210044600+172472700</f>
        <v>382517300</v>
      </c>
      <c r="E46" s="6"/>
      <c r="F46" s="5"/>
      <c r="G46" s="5"/>
      <c r="H46" s="1"/>
      <c r="I46" s="1"/>
      <c r="J46" s="1"/>
      <c r="K46" s="1"/>
      <c r="L46" s="1"/>
    </row>
    <row r="47" spans="1:12" ht="38.1" customHeight="1" x14ac:dyDescent="0.25">
      <c r="A47" s="4"/>
      <c r="B47" s="4">
        <v>6112</v>
      </c>
      <c r="C47" s="5" t="s">
        <v>9</v>
      </c>
      <c r="D47" s="6">
        <f>378568064+568512529+10122861-106834570</f>
        <v>850368884</v>
      </c>
      <c r="E47" s="6"/>
      <c r="F47" s="5"/>
      <c r="G47" s="5"/>
      <c r="H47" s="1"/>
      <c r="I47" s="1"/>
      <c r="J47" s="1"/>
      <c r="K47" s="1"/>
      <c r="L47" s="1"/>
    </row>
    <row r="48" spans="1:12" ht="38.1" customHeight="1" x14ac:dyDescent="0.25">
      <c r="A48" s="4"/>
      <c r="B48" s="4">
        <v>6113</v>
      </c>
      <c r="C48" s="5" t="s">
        <v>10</v>
      </c>
      <c r="D48" s="6">
        <f>2344000+9387000+10000-1764000</f>
        <v>9977000</v>
      </c>
      <c r="E48" s="6"/>
      <c r="F48" s="5"/>
      <c r="G48" s="5"/>
      <c r="H48" s="1"/>
      <c r="I48" s="1"/>
      <c r="J48" s="1"/>
      <c r="K48" s="1"/>
      <c r="L48" s="1"/>
    </row>
    <row r="49" spans="1:12" ht="38.1" customHeight="1" x14ac:dyDescent="0.25">
      <c r="A49" s="4"/>
      <c r="B49" s="4">
        <v>6115</v>
      </c>
      <c r="C49" s="5" t="s">
        <v>11</v>
      </c>
      <c r="D49" s="6">
        <f>112181262+260161683+1761825-48289322</f>
        <v>325815448</v>
      </c>
      <c r="E49" s="6"/>
      <c r="F49" s="5"/>
      <c r="G49" s="5"/>
      <c r="H49" s="1"/>
      <c r="I49" s="1"/>
      <c r="J49" s="1"/>
      <c r="K49" s="1"/>
      <c r="L49" s="1"/>
    </row>
    <row r="50" spans="1:12" ht="38.1" customHeight="1" x14ac:dyDescent="0.25">
      <c r="A50" s="4"/>
      <c r="B50" s="4">
        <v>6116</v>
      </c>
      <c r="C50" s="5" t="s">
        <v>61</v>
      </c>
      <c r="D50" s="6">
        <f>268588832+508811503+3943533-95615584</f>
        <v>685728284</v>
      </c>
      <c r="E50" s="6"/>
      <c r="F50" s="5"/>
      <c r="G50" s="5"/>
      <c r="H50" s="1"/>
      <c r="I50" s="1"/>
      <c r="J50" s="1"/>
      <c r="K50" s="1"/>
      <c r="L50" s="1"/>
    </row>
    <row r="51" spans="1:12" ht="38.1" customHeight="1" x14ac:dyDescent="0.25">
      <c r="A51" s="4"/>
      <c r="B51" s="8"/>
      <c r="C51" s="9" t="s">
        <v>12</v>
      </c>
      <c r="D51" s="56">
        <f>SUM(D52:D55)</f>
        <v>697551374</v>
      </c>
      <c r="E51" s="6"/>
      <c r="F51" s="5"/>
      <c r="G51" s="5"/>
      <c r="H51" s="1"/>
      <c r="I51" s="1"/>
      <c r="J51" s="1"/>
      <c r="K51" s="1"/>
      <c r="L51" s="1"/>
    </row>
    <row r="52" spans="1:12" ht="38.1" customHeight="1" x14ac:dyDescent="0.25">
      <c r="A52" s="4"/>
      <c r="B52" s="4">
        <v>6301</v>
      </c>
      <c r="C52" s="5" t="s">
        <v>13</v>
      </c>
      <c r="D52" s="6">
        <f>198726141+391911885-70791880</f>
        <v>519846146</v>
      </c>
      <c r="E52" s="6"/>
      <c r="F52" s="5"/>
      <c r="G52" s="5"/>
      <c r="H52" s="1"/>
      <c r="I52" s="1"/>
      <c r="J52" s="1"/>
      <c r="K52" s="1"/>
      <c r="L52" s="1"/>
    </row>
    <row r="53" spans="1:12" ht="38.1" customHeight="1" x14ac:dyDescent="0.25">
      <c r="A53" s="4"/>
      <c r="B53" s="4">
        <v>6302</v>
      </c>
      <c r="C53" s="5" t="s">
        <v>15</v>
      </c>
      <c r="D53" s="6">
        <f>34067346+67184917-12135751</f>
        <v>89116512</v>
      </c>
      <c r="E53" s="6"/>
      <c r="F53" s="5"/>
      <c r="G53" s="5"/>
      <c r="H53" s="1"/>
      <c r="I53" s="1"/>
      <c r="J53" s="1"/>
      <c r="K53" s="1"/>
      <c r="L53" s="1"/>
    </row>
    <row r="54" spans="1:12" ht="38.1" customHeight="1" x14ac:dyDescent="0.25">
      <c r="A54" s="4"/>
      <c r="B54" s="4">
        <v>6303</v>
      </c>
      <c r="C54" s="5" t="s">
        <v>14</v>
      </c>
      <c r="D54" s="6">
        <f>22870314+44946400-8090501</f>
        <v>59726213</v>
      </c>
      <c r="E54" s="6"/>
      <c r="F54" s="5"/>
      <c r="G54" s="5"/>
      <c r="H54" s="1"/>
      <c r="I54" s="1"/>
      <c r="J54" s="1"/>
      <c r="K54" s="1"/>
      <c r="L54" s="1"/>
    </row>
    <row r="55" spans="1:12" ht="38.1" customHeight="1" x14ac:dyDescent="0.25">
      <c r="A55" s="4"/>
      <c r="B55" s="4">
        <v>6304</v>
      </c>
      <c r="C55" s="5" t="s">
        <v>16</v>
      </c>
      <c r="D55" s="6">
        <f>11034179+21873574-4045250</f>
        <v>28862503</v>
      </c>
      <c r="E55" s="6"/>
      <c r="F55" s="5"/>
      <c r="G55" s="5"/>
      <c r="H55" s="1"/>
      <c r="I55" s="1"/>
      <c r="J55" s="1"/>
      <c r="K55" s="1"/>
      <c r="L55" s="1"/>
    </row>
    <row r="56" spans="1:12" ht="38.1" customHeight="1" x14ac:dyDescent="0.25">
      <c r="A56" s="4"/>
      <c r="B56" s="8"/>
      <c r="C56" s="9" t="s">
        <v>17</v>
      </c>
      <c r="D56" s="56">
        <f>D58+D59+D57</f>
        <v>1261276556</v>
      </c>
      <c r="E56" s="6"/>
      <c r="F56" s="5"/>
      <c r="G56" s="5"/>
      <c r="H56" s="1"/>
      <c r="I56" s="1"/>
      <c r="J56" s="1"/>
      <c r="K56" s="1"/>
      <c r="L56" s="1"/>
    </row>
    <row r="57" spans="1:12" ht="38.1" customHeight="1" x14ac:dyDescent="0.25">
      <c r="A57" s="4"/>
      <c r="B57" s="4">
        <v>6404</v>
      </c>
      <c r="C57" s="5" t="s">
        <v>18</v>
      </c>
      <c r="D57" s="6">
        <f>426077000</f>
        <v>426077000</v>
      </c>
      <c r="E57" s="6"/>
      <c r="F57" s="5"/>
      <c r="G57" s="5"/>
      <c r="H57" s="1"/>
      <c r="I57" s="1"/>
      <c r="J57" s="1"/>
      <c r="K57" s="1"/>
      <c r="L57" s="1"/>
    </row>
    <row r="58" spans="1:12" ht="38.1" customHeight="1" x14ac:dyDescent="0.25">
      <c r="A58" s="4"/>
      <c r="B58" s="4"/>
      <c r="C58" s="5" t="s">
        <v>19</v>
      </c>
      <c r="D58" s="6"/>
      <c r="E58" s="6"/>
      <c r="F58" s="5"/>
      <c r="G58" s="5"/>
      <c r="H58" s="1"/>
      <c r="I58" s="1"/>
      <c r="J58" s="1"/>
      <c r="K58" s="1"/>
      <c r="L58" s="1"/>
    </row>
    <row r="59" spans="1:12" ht="38.1" customHeight="1" x14ac:dyDescent="0.25">
      <c r="A59" s="4"/>
      <c r="B59" s="4">
        <v>6449</v>
      </c>
      <c r="C59" s="5" t="s">
        <v>21</v>
      </c>
      <c r="D59" s="6">
        <f>309595556+525604000</f>
        <v>835199556</v>
      </c>
      <c r="E59" s="6"/>
      <c r="F59" s="5"/>
      <c r="G59" s="5"/>
      <c r="H59" s="1"/>
      <c r="I59" s="1"/>
      <c r="J59" s="1"/>
      <c r="K59" s="1"/>
      <c r="L59" s="1"/>
    </row>
    <row r="60" spans="1:12" ht="38.1" customHeight="1" x14ac:dyDescent="0.25">
      <c r="A60" s="4"/>
      <c r="B60" s="8"/>
      <c r="C60" s="9" t="s">
        <v>93</v>
      </c>
      <c r="D60" s="10">
        <f>D61+D62</f>
        <v>26757650</v>
      </c>
      <c r="E60" s="6"/>
      <c r="F60" s="5"/>
      <c r="G60" s="5"/>
      <c r="H60" s="1"/>
      <c r="I60" s="1"/>
      <c r="J60" s="1"/>
      <c r="K60" s="1"/>
      <c r="L60" s="1"/>
    </row>
    <row r="61" spans="1:12" ht="38.1" customHeight="1" x14ac:dyDescent="0.25">
      <c r="A61" s="4"/>
      <c r="B61" s="4">
        <v>6501</v>
      </c>
      <c r="C61" s="5" t="s">
        <v>80</v>
      </c>
      <c r="D61" s="6">
        <v>6551460</v>
      </c>
      <c r="E61" s="6"/>
      <c r="F61" s="5"/>
      <c r="G61" s="5"/>
      <c r="H61" s="1"/>
      <c r="I61" s="1"/>
      <c r="J61" s="1"/>
      <c r="K61" s="1"/>
      <c r="L61" s="1"/>
    </row>
    <row r="62" spans="1:12" ht="38.1" customHeight="1" x14ac:dyDescent="0.25">
      <c r="A62" s="4"/>
      <c r="B62" s="4">
        <v>6502</v>
      </c>
      <c r="C62" s="5" t="s">
        <v>98</v>
      </c>
      <c r="D62" s="6">
        <f>9120650+11085540</f>
        <v>20206190</v>
      </c>
      <c r="E62" s="6"/>
      <c r="F62" s="5"/>
      <c r="G62" s="5"/>
      <c r="H62" s="1"/>
      <c r="I62" s="1"/>
      <c r="J62" s="1"/>
      <c r="K62" s="1"/>
      <c r="L62" s="1"/>
    </row>
    <row r="63" spans="1:12" ht="38.1" customHeight="1" x14ac:dyDescent="0.25">
      <c r="A63" s="4"/>
      <c r="B63" s="4">
        <v>6601</v>
      </c>
      <c r="C63" s="5" t="s">
        <v>116</v>
      </c>
      <c r="D63" s="6">
        <v>726711</v>
      </c>
      <c r="E63" s="6"/>
      <c r="F63" s="5"/>
      <c r="G63" s="5"/>
      <c r="H63" s="1"/>
      <c r="I63" s="1"/>
      <c r="J63" s="1"/>
      <c r="K63" s="1"/>
      <c r="L63" s="1"/>
    </row>
    <row r="64" spans="1:12" ht="38.1" customHeight="1" x14ac:dyDescent="0.25">
      <c r="A64" s="4"/>
      <c r="B64" s="8"/>
      <c r="C64" s="9" t="s">
        <v>20</v>
      </c>
      <c r="D64" s="56">
        <f>D65</f>
        <v>26400000</v>
      </c>
      <c r="E64" s="6"/>
      <c r="F64" s="5"/>
      <c r="G64" s="5"/>
      <c r="H64" s="1"/>
      <c r="I64" s="1"/>
      <c r="J64" s="1"/>
      <c r="K64" s="1"/>
      <c r="L64" s="1"/>
    </row>
    <row r="65" spans="1:12" ht="38.1" customHeight="1" x14ac:dyDescent="0.25">
      <c r="A65" s="4"/>
      <c r="B65" s="4">
        <v>6704</v>
      </c>
      <c r="C65" s="5" t="s">
        <v>22</v>
      </c>
      <c r="D65" s="6">
        <f>9600000+16800000</f>
        <v>26400000</v>
      </c>
      <c r="E65" s="6"/>
      <c r="F65" s="5"/>
      <c r="G65" s="5"/>
      <c r="H65" s="1"/>
      <c r="I65" s="1"/>
      <c r="J65" s="1"/>
      <c r="K65" s="1"/>
      <c r="L65" s="1"/>
    </row>
    <row r="66" spans="1:12" ht="38.1" customHeight="1" x14ac:dyDescent="0.25">
      <c r="A66" s="4"/>
      <c r="B66" s="8"/>
      <c r="C66" s="9" t="s">
        <v>23</v>
      </c>
      <c r="D66" s="10">
        <f>D67</f>
        <v>23769000</v>
      </c>
      <c r="E66" s="6"/>
      <c r="F66" s="5"/>
      <c r="G66" s="5"/>
      <c r="H66" s="1"/>
      <c r="I66" s="1"/>
      <c r="J66" s="1"/>
      <c r="K66" s="1"/>
      <c r="L66" s="1"/>
    </row>
    <row r="67" spans="1:12" ht="38.1" customHeight="1" x14ac:dyDescent="0.25">
      <c r="A67" s="4"/>
      <c r="B67" s="4">
        <v>7764</v>
      </c>
      <c r="C67" s="5" t="s">
        <v>62</v>
      </c>
      <c r="D67" s="6">
        <f>23769000</f>
        <v>23769000</v>
      </c>
      <c r="E67" s="6"/>
      <c r="F67" s="5"/>
      <c r="G67" s="5"/>
      <c r="H67" s="1"/>
      <c r="I67" s="1"/>
      <c r="J67" s="1"/>
      <c r="K67" s="1"/>
      <c r="L67" s="1"/>
    </row>
    <row r="68" spans="1:12" ht="38.1" customHeight="1" x14ac:dyDescent="0.25">
      <c r="A68" s="4"/>
      <c r="B68" s="8"/>
      <c r="C68" s="9" t="s">
        <v>23</v>
      </c>
      <c r="D68" s="56">
        <f>SUM(D69:D72)</f>
        <v>207186200</v>
      </c>
      <c r="E68" s="6"/>
      <c r="F68" s="5"/>
      <c r="G68" s="5"/>
      <c r="H68" s="1"/>
      <c r="I68" s="1"/>
      <c r="J68" s="1"/>
      <c r="K68" s="1"/>
      <c r="L68" s="1"/>
    </row>
    <row r="69" spans="1:12" ht="38.1" customHeight="1" x14ac:dyDescent="0.25">
      <c r="A69" s="4"/>
      <c r="B69" s="4">
        <v>7952</v>
      </c>
      <c r="C69" s="5" t="s">
        <v>57</v>
      </c>
      <c r="D69" s="6">
        <f>160000000</f>
        <v>160000000</v>
      </c>
      <c r="E69" s="6"/>
      <c r="F69" s="5"/>
      <c r="G69" s="5"/>
      <c r="H69" s="1"/>
      <c r="I69" s="1"/>
      <c r="J69" s="1"/>
      <c r="K69" s="1"/>
      <c r="L69" s="1"/>
    </row>
    <row r="70" spans="1:12" ht="38.1" customHeight="1" x14ac:dyDescent="0.25">
      <c r="A70" s="4"/>
      <c r="B70" s="4">
        <v>7954</v>
      </c>
      <c r="C70" s="5" t="s">
        <v>58</v>
      </c>
      <c r="D70" s="6">
        <v>30000000</v>
      </c>
      <c r="E70" s="6"/>
      <c r="F70" s="5"/>
      <c r="G70" s="5"/>
      <c r="H70" s="1"/>
      <c r="I70" s="1"/>
      <c r="J70" s="1"/>
      <c r="K70" s="1"/>
      <c r="L70" s="1"/>
    </row>
    <row r="71" spans="1:12" ht="38.1" customHeight="1" x14ac:dyDescent="0.25">
      <c r="A71" s="4"/>
      <c r="B71" s="4">
        <v>7953</v>
      </c>
      <c r="C71" s="5" t="s">
        <v>35</v>
      </c>
      <c r="D71" s="6">
        <v>4905992</v>
      </c>
      <c r="E71" s="6"/>
      <c r="F71" s="5"/>
      <c r="G71" s="5"/>
      <c r="H71" s="1"/>
      <c r="I71" s="1"/>
      <c r="J71" s="1"/>
      <c r="K71" s="1"/>
      <c r="L71" s="1"/>
    </row>
    <row r="72" spans="1:12" ht="38.1" customHeight="1" x14ac:dyDescent="0.25">
      <c r="A72" s="4"/>
      <c r="B72" s="4">
        <v>8049</v>
      </c>
      <c r="C72" s="106" t="s">
        <v>117</v>
      </c>
      <c r="D72" s="6">
        <v>12280208</v>
      </c>
      <c r="E72" s="6"/>
      <c r="F72" s="5"/>
      <c r="G72" s="5"/>
      <c r="H72" s="1"/>
      <c r="I72" s="1"/>
      <c r="J72" s="1"/>
      <c r="K72" s="1"/>
      <c r="L72" s="1"/>
    </row>
    <row r="73" spans="1:12" ht="38.1" customHeight="1" x14ac:dyDescent="0.25">
      <c r="A73" s="59">
        <v>2</v>
      </c>
      <c r="B73" s="59"/>
      <c r="C73" s="17" t="s">
        <v>49</v>
      </c>
      <c r="D73" s="56">
        <f>SUM(D75:D79)</f>
        <v>159802200</v>
      </c>
      <c r="E73" s="6"/>
      <c r="F73" s="5"/>
      <c r="G73" s="5"/>
      <c r="H73" s="1"/>
      <c r="I73" s="1"/>
      <c r="J73" s="1"/>
      <c r="K73" s="1"/>
      <c r="L73" s="1"/>
    </row>
    <row r="74" spans="1:12" ht="38.1" customHeight="1" x14ac:dyDescent="0.25">
      <c r="A74" s="59"/>
      <c r="B74" s="19">
        <v>6449</v>
      </c>
      <c r="C74" s="20" t="s">
        <v>95</v>
      </c>
      <c r="D74" s="21">
        <f>1391574943+533095891</f>
        <v>1924670834</v>
      </c>
      <c r="E74" s="21"/>
      <c r="F74" s="5"/>
      <c r="G74" s="5"/>
      <c r="H74" s="1"/>
      <c r="I74" s="1"/>
      <c r="J74" s="1"/>
      <c r="K74" s="1"/>
      <c r="L74" s="1"/>
    </row>
    <row r="75" spans="1:12" ht="38.1" customHeight="1" x14ac:dyDescent="0.25">
      <c r="A75" s="4"/>
      <c r="B75" s="4">
        <v>6406</v>
      </c>
      <c r="C75" s="5" t="s">
        <v>96</v>
      </c>
      <c r="D75" s="6">
        <f>1200000+600000+1748000+894000</f>
        <v>4442000</v>
      </c>
      <c r="E75" s="6"/>
      <c r="F75" s="5"/>
      <c r="G75" s="5"/>
      <c r="H75" s="1"/>
      <c r="I75" s="1"/>
      <c r="J75" s="1"/>
      <c r="K75" s="1"/>
      <c r="L75" s="1"/>
    </row>
    <row r="76" spans="1:12" ht="38.1" customHeight="1" x14ac:dyDescent="0.25">
      <c r="A76" s="4"/>
      <c r="B76" s="4">
        <v>6552</v>
      </c>
      <c r="C76" s="5" t="s">
        <v>118</v>
      </c>
      <c r="D76" s="6">
        <v>60900000</v>
      </c>
      <c r="E76" s="6"/>
      <c r="F76" s="5"/>
      <c r="G76" s="5"/>
      <c r="H76" s="1"/>
      <c r="I76" s="1"/>
      <c r="J76" s="1"/>
      <c r="K76" s="1"/>
      <c r="L76" s="1"/>
    </row>
    <row r="77" spans="1:12" ht="38.1" customHeight="1" x14ac:dyDescent="0.25">
      <c r="A77" s="4"/>
      <c r="B77" s="4">
        <v>6552</v>
      </c>
      <c r="C77" s="106" t="s">
        <v>119</v>
      </c>
      <c r="D77" s="6">
        <v>36000000</v>
      </c>
      <c r="E77" s="6"/>
      <c r="F77" s="5"/>
      <c r="G77" s="5"/>
      <c r="H77" s="1"/>
      <c r="I77" s="1"/>
      <c r="J77" s="1"/>
      <c r="K77" s="1"/>
      <c r="L77" s="1"/>
    </row>
    <row r="78" spans="1:12" ht="38.1" customHeight="1" x14ac:dyDescent="0.25">
      <c r="A78" s="4"/>
      <c r="B78" s="4">
        <v>6999</v>
      </c>
      <c r="C78" s="5" t="s">
        <v>120</v>
      </c>
      <c r="D78" s="6">
        <v>49700200</v>
      </c>
      <c r="E78" s="6"/>
      <c r="F78" s="5"/>
      <c r="G78" s="5"/>
      <c r="H78" s="1"/>
      <c r="I78" s="1"/>
      <c r="J78" s="1"/>
      <c r="K78" s="1"/>
      <c r="L78" s="1"/>
    </row>
    <row r="79" spans="1:12" ht="38.1" customHeight="1" x14ac:dyDescent="0.25">
      <c r="A79" s="4"/>
      <c r="B79" s="4">
        <v>7766</v>
      </c>
      <c r="C79" s="5" t="s">
        <v>59</v>
      </c>
      <c r="D79" s="6">
        <f>7560000+1200000</f>
        <v>8760000</v>
      </c>
      <c r="E79" s="6"/>
      <c r="F79" s="5"/>
      <c r="G79" s="5"/>
      <c r="H79" s="1"/>
      <c r="I79" s="1"/>
      <c r="J79" s="1"/>
      <c r="K79" s="1"/>
      <c r="L79" s="1"/>
    </row>
    <row r="80" spans="1:12" ht="38.1" customHeight="1" x14ac:dyDescent="0.25">
      <c r="A80" s="59">
        <v>3</v>
      </c>
      <c r="B80" s="59"/>
      <c r="C80" s="17" t="s">
        <v>63</v>
      </c>
      <c r="D80" s="56">
        <f>SUM(D81:D90)</f>
        <v>703802569</v>
      </c>
      <c r="E80" s="6"/>
      <c r="F80" s="5"/>
      <c r="G80" s="5"/>
      <c r="H80" s="1"/>
      <c r="I80" s="1"/>
      <c r="J80" s="1"/>
      <c r="K80" s="1"/>
      <c r="L80" s="1"/>
    </row>
    <row r="81" spans="1:12" ht="38.1" customHeight="1" x14ac:dyDescent="0.25">
      <c r="A81" s="11"/>
      <c r="B81" s="4">
        <v>6001</v>
      </c>
      <c r="C81" s="5" t="s">
        <v>64</v>
      </c>
      <c r="D81" s="6">
        <v>351097711</v>
      </c>
      <c r="E81" s="6"/>
      <c r="F81" s="5"/>
      <c r="G81" s="5"/>
      <c r="H81" s="1"/>
      <c r="I81" s="1"/>
      <c r="J81" s="1"/>
      <c r="K81" s="1"/>
      <c r="L81" s="1"/>
    </row>
    <row r="82" spans="1:12" ht="38.1" customHeight="1" x14ac:dyDescent="0.25">
      <c r="A82" s="11"/>
      <c r="B82" s="4">
        <v>6101</v>
      </c>
      <c r="C82" s="5" t="s">
        <v>65</v>
      </c>
      <c r="D82" s="6">
        <v>5138000</v>
      </c>
      <c r="E82" s="6"/>
      <c r="F82" s="5"/>
      <c r="G82" s="5"/>
      <c r="H82" s="1"/>
      <c r="I82" s="1"/>
      <c r="J82" s="1"/>
      <c r="K82" s="1"/>
      <c r="L82" s="1"/>
    </row>
    <row r="83" spans="1:12" ht="38.1" customHeight="1" x14ac:dyDescent="0.25">
      <c r="A83" s="11"/>
      <c r="B83" s="4">
        <v>6112</v>
      </c>
      <c r="C83" s="5" t="s">
        <v>9</v>
      </c>
      <c r="D83" s="6">
        <v>106834570</v>
      </c>
      <c r="E83" s="6"/>
      <c r="F83" s="5"/>
      <c r="G83" s="5"/>
      <c r="H83" s="1"/>
      <c r="I83" s="1"/>
      <c r="J83" s="1"/>
      <c r="K83" s="1"/>
      <c r="L83" s="1"/>
    </row>
    <row r="84" spans="1:12" ht="38.1" customHeight="1" x14ac:dyDescent="0.25">
      <c r="A84" s="11"/>
      <c r="B84" s="4">
        <v>6113</v>
      </c>
      <c r="C84" s="5" t="s">
        <v>10</v>
      </c>
      <c r="D84" s="6">
        <v>1764000</v>
      </c>
      <c r="E84" s="6"/>
      <c r="F84" s="5"/>
      <c r="G84" s="5"/>
      <c r="H84" s="1"/>
      <c r="I84" s="1"/>
      <c r="J84" s="1"/>
      <c r="K84" s="1"/>
      <c r="L84" s="1"/>
    </row>
    <row r="85" spans="1:12" ht="38.1" customHeight="1" x14ac:dyDescent="0.25">
      <c r="A85" s="11"/>
      <c r="B85" s="4">
        <v>6115</v>
      </c>
      <c r="C85" s="5" t="s">
        <v>66</v>
      </c>
      <c r="D85" s="6">
        <v>48289322</v>
      </c>
      <c r="E85" s="6"/>
      <c r="F85" s="5"/>
      <c r="G85" s="5"/>
      <c r="H85" s="1"/>
      <c r="I85" s="1"/>
      <c r="J85" s="1"/>
      <c r="K85" s="1"/>
      <c r="L85" s="1"/>
    </row>
    <row r="86" spans="1:12" ht="38.1" customHeight="1" x14ac:dyDescent="0.25">
      <c r="A86" s="11"/>
      <c r="B86" s="4">
        <v>6116</v>
      </c>
      <c r="C86" s="5" t="s">
        <v>67</v>
      </c>
      <c r="D86" s="6">
        <v>95615584</v>
      </c>
      <c r="E86" s="6"/>
      <c r="F86" s="5"/>
      <c r="G86" s="5"/>
      <c r="H86" s="1"/>
      <c r="I86" s="1"/>
      <c r="J86" s="1"/>
      <c r="K86" s="1"/>
      <c r="L86" s="1"/>
    </row>
    <row r="87" spans="1:12" ht="38.1" customHeight="1" x14ac:dyDescent="0.25">
      <c r="A87" s="11"/>
      <c r="B87" s="4">
        <v>6301</v>
      </c>
      <c r="C87" s="5" t="s">
        <v>13</v>
      </c>
      <c r="D87" s="6">
        <v>70791880</v>
      </c>
      <c r="E87" s="6"/>
      <c r="F87" s="5"/>
      <c r="G87" s="5"/>
      <c r="H87" s="1"/>
      <c r="I87" s="1"/>
      <c r="J87" s="1"/>
      <c r="K87" s="1"/>
      <c r="L87" s="1"/>
    </row>
    <row r="88" spans="1:12" ht="38.1" customHeight="1" x14ac:dyDescent="0.25">
      <c r="A88" s="11"/>
      <c r="B88" s="4">
        <v>6302</v>
      </c>
      <c r="C88" s="5" t="s">
        <v>15</v>
      </c>
      <c r="D88" s="6">
        <v>12135751</v>
      </c>
      <c r="E88" s="6"/>
      <c r="F88" s="5"/>
      <c r="G88" s="5"/>
      <c r="H88" s="1"/>
      <c r="I88" s="1"/>
      <c r="J88" s="1"/>
      <c r="K88" s="1"/>
      <c r="L88" s="1"/>
    </row>
    <row r="89" spans="1:12" ht="38.1" customHeight="1" x14ac:dyDescent="0.25">
      <c r="A89" s="4"/>
      <c r="B89" s="4">
        <v>6303</v>
      </c>
      <c r="C89" s="5" t="s">
        <v>14</v>
      </c>
      <c r="D89" s="6">
        <v>8090501</v>
      </c>
      <c r="E89" s="6"/>
      <c r="F89" s="5"/>
      <c r="G89" s="5"/>
      <c r="H89" s="1"/>
      <c r="I89" s="1"/>
      <c r="J89" s="1"/>
      <c r="K89" s="1"/>
      <c r="L89" s="1"/>
    </row>
    <row r="90" spans="1:12" ht="38.1" customHeight="1" x14ac:dyDescent="0.25">
      <c r="A90" s="4"/>
      <c r="B90" s="4">
        <v>6304</v>
      </c>
      <c r="C90" s="5" t="s">
        <v>16</v>
      </c>
      <c r="D90" s="6">
        <v>4045250</v>
      </c>
      <c r="E90" s="6"/>
      <c r="F90" s="5"/>
      <c r="G90" s="5"/>
      <c r="H90" s="1"/>
      <c r="I90" s="1"/>
      <c r="J90" s="1"/>
      <c r="K90" s="1"/>
      <c r="L90" s="1"/>
    </row>
    <row r="91" spans="1:12" ht="38.1" customHeight="1" x14ac:dyDescent="0.25">
      <c r="A91" s="47" t="s">
        <v>27</v>
      </c>
      <c r="B91" s="47"/>
      <c r="C91" s="22" t="s">
        <v>111</v>
      </c>
      <c r="D91" s="16">
        <f>D92</f>
        <v>308630806</v>
      </c>
      <c r="E91" s="6"/>
      <c r="F91" s="5"/>
      <c r="G91" s="5"/>
      <c r="H91" s="1"/>
      <c r="I91" s="1"/>
      <c r="J91" s="1"/>
      <c r="K91" s="1"/>
      <c r="L91" s="1"/>
    </row>
    <row r="92" spans="1:12" ht="38.1" customHeight="1" x14ac:dyDescent="0.25">
      <c r="A92" s="11"/>
      <c r="B92" s="11"/>
      <c r="C92" s="12" t="s">
        <v>28</v>
      </c>
      <c r="D92" s="13">
        <f>SUM(D93:D110)</f>
        <v>308630806</v>
      </c>
      <c r="E92" s="6"/>
      <c r="F92" s="5"/>
      <c r="G92" s="5"/>
      <c r="H92" s="114">
        <f>183661921+124968885</f>
        <v>308630806</v>
      </c>
      <c r="I92" s="1"/>
      <c r="J92" s="1"/>
      <c r="K92" s="1"/>
      <c r="L92" s="1"/>
    </row>
    <row r="93" spans="1:12" ht="38.1" hidden="1" customHeight="1" x14ac:dyDescent="0.25">
      <c r="A93" s="11"/>
      <c r="B93" s="19"/>
      <c r="C93" s="20" t="s">
        <v>68</v>
      </c>
      <c r="D93" s="71"/>
      <c r="E93" s="6"/>
      <c r="F93" s="74"/>
      <c r="G93" s="5"/>
      <c r="H93" s="58">
        <f>D92-H92</f>
        <v>0</v>
      </c>
      <c r="I93" s="1"/>
      <c r="J93" s="1"/>
      <c r="K93" s="1"/>
      <c r="L93" s="1"/>
    </row>
    <row r="94" spans="1:12" ht="44.25" customHeight="1" x14ac:dyDescent="0.25">
      <c r="A94" s="11"/>
      <c r="B94" s="19"/>
      <c r="C94" s="60" t="s">
        <v>121</v>
      </c>
      <c r="D94" s="21">
        <f>16744072+4334700</f>
        <v>21078772</v>
      </c>
      <c r="E94" s="6"/>
      <c r="F94" s="5"/>
      <c r="G94" s="5"/>
      <c r="H94" s="1"/>
      <c r="I94" s="1"/>
      <c r="J94" s="1"/>
      <c r="K94" s="1"/>
      <c r="L94" s="1"/>
    </row>
    <row r="95" spans="1:12" ht="38.1" customHeight="1" x14ac:dyDescent="0.25">
      <c r="A95" s="11"/>
      <c r="B95" s="19"/>
      <c r="C95" s="5" t="s">
        <v>73</v>
      </c>
      <c r="D95" s="71">
        <v>8765999</v>
      </c>
      <c r="E95" s="6"/>
      <c r="F95" s="5"/>
      <c r="G95" s="5"/>
      <c r="H95" s="1"/>
      <c r="I95" s="1"/>
      <c r="J95" s="1"/>
      <c r="K95" s="1"/>
      <c r="L95" s="1"/>
    </row>
    <row r="96" spans="1:12" ht="38.1" customHeight="1" x14ac:dyDescent="0.25">
      <c r="A96" s="11"/>
      <c r="B96" s="19"/>
      <c r="C96" s="107" t="s">
        <v>134</v>
      </c>
      <c r="D96" s="21">
        <v>6885000</v>
      </c>
      <c r="E96" s="6"/>
      <c r="F96" s="5"/>
      <c r="G96" s="5"/>
      <c r="H96" s="58">
        <f>SUM(D96:D109)</f>
        <v>197810835</v>
      </c>
      <c r="I96" s="1"/>
      <c r="J96" s="1"/>
      <c r="K96" s="1"/>
      <c r="L96" s="1"/>
    </row>
    <row r="97" spans="1:12" ht="38.1" customHeight="1" x14ac:dyDescent="0.25">
      <c r="A97" s="11"/>
      <c r="B97" s="19"/>
      <c r="C97" s="60" t="s">
        <v>122</v>
      </c>
      <c r="D97" s="21">
        <v>8193150</v>
      </c>
      <c r="E97" s="6"/>
      <c r="F97" s="5"/>
      <c r="G97" s="5"/>
      <c r="H97" s="1"/>
      <c r="I97" s="1"/>
      <c r="J97" s="1"/>
      <c r="K97" s="1"/>
      <c r="L97" s="1"/>
    </row>
    <row r="98" spans="1:12" ht="38.1" customHeight="1" x14ac:dyDescent="0.25">
      <c r="A98" s="11"/>
      <c r="B98" s="19"/>
      <c r="C98" s="60" t="s">
        <v>123</v>
      </c>
      <c r="D98" s="21">
        <v>17831000</v>
      </c>
      <c r="E98" s="6"/>
      <c r="F98" s="5"/>
      <c r="G98" s="5"/>
      <c r="H98" s="1"/>
      <c r="I98" s="1"/>
      <c r="J98" s="1"/>
      <c r="K98" s="1"/>
      <c r="L98" s="1"/>
    </row>
    <row r="99" spans="1:12" ht="38.1" customHeight="1" x14ac:dyDescent="0.25">
      <c r="A99" s="11"/>
      <c r="B99" s="19"/>
      <c r="C99" s="60" t="s">
        <v>124</v>
      </c>
      <c r="D99" s="21">
        <v>9840000</v>
      </c>
      <c r="E99" s="6"/>
      <c r="F99" s="5"/>
      <c r="G99" s="5"/>
      <c r="H99" s="1"/>
      <c r="I99" s="1"/>
      <c r="J99" s="1"/>
      <c r="K99" s="1"/>
      <c r="L99" s="1"/>
    </row>
    <row r="100" spans="1:12" ht="38.1" customHeight="1" x14ac:dyDescent="0.25">
      <c r="A100" s="11"/>
      <c r="B100" s="19"/>
      <c r="C100" s="60" t="s">
        <v>133</v>
      </c>
      <c r="D100" s="21">
        <v>10900000</v>
      </c>
      <c r="E100" s="6"/>
      <c r="F100" s="5"/>
      <c r="G100" s="5"/>
      <c r="H100" s="1"/>
      <c r="I100" s="1"/>
      <c r="J100" s="1"/>
      <c r="K100" s="1"/>
      <c r="L100" s="1"/>
    </row>
    <row r="101" spans="1:12" s="113" customFormat="1" ht="52.5" customHeight="1" x14ac:dyDescent="0.25">
      <c r="A101" s="108"/>
      <c r="B101" s="109"/>
      <c r="C101" s="110" t="s">
        <v>125</v>
      </c>
      <c r="D101" s="111">
        <f>9581000+14300000+5506600</f>
        <v>29387600</v>
      </c>
      <c r="E101" s="77"/>
      <c r="F101" s="76"/>
      <c r="G101" s="76"/>
      <c r="H101" s="112"/>
      <c r="I101" s="112"/>
      <c r="J101" s="112"/>
      <c r="K101" s="112"/>
      <c r="L101" s="112"/>
    </row>
    <row r="102" spans="1:12" s="113" customFormat="1" ht="38.1" customHeight="1" x14ac:dyDescent="0.25">
      <c r="A102" s="108"/>
      <c r="B102" s="109"/>
      <c r="C102" s="110" t="s">
        <v>126</v>
      </c>
      <c r="D102" s="111">
        <v>19123500</v>
      </c>
      <c r="E102" s="77"/>
      <c r="F102" s="76"/>
      <c r="G102" s="76"/>
      <c r="H102" s="112"/>
      <c r="I102" s="112"/>
      <c r="J102" s="112"/>
      <c r="K102" s="112"/>
      <c r="L102" s="112"/>
    </row>
    <row r="103" spans="1:12" s="113" customFormat="1" ht="38.1" customHeight="1" x14ac:dyDescent="0.25">
      <c r="A103" s="108"/>
      <c r="B103" s="109"/>
      <c r="C103" s="110" t="s">
        <v>127</v>
      </c>
      <c r="D103" s="111">
        <v>19867650</v>
      </c>
      <c r="E103" s="77"/>
      <c r="F103" s="76"/>
      <c r="G103" s="76"/>
      <c r="H103" s="112"/>
      <c r="I103" s="112"/>
      <c r="J103" s="112"/>
      <c r="K103" s="112"/>
      <c r="L103" s="112"/>
    </row>
    <row r="104" spans="1:12" s="113" customFormat="1" ht="38.1" customHeight="1" x14ac:dyDescent="0.25">
      <c r="A104" s="108"/>
      <c r="B104" s="109"/>
      <c r="C104" s="110" t="s">
        <v>128</v>
      </c>
      <c r="D104" s="111">
        <f>8363193</f>
        <v>8363193</v>
      </c>
      <c r="E104" s="77"/>
      <c r="F104" s="76"/>
      <c r="G104" s="76"/>
      <c r="H104" s="112"/>
      <c r="I104" s="112"/>
      <c r="J104" s="112"/>
      <c r="K104" s="112"/>
      <c r="L104" s="112"/>
    </row>
    <row r="105" spans="1:12" s="113" customFormat="1" ht="38.1" customHeight="1" x14ac:dyDescent="0.25">
      <c r="A105" s="108"/>
      <c r="B105" s="109"/>
      <c r="C105" s="110" t="s">
        <v>129</v>
      </c>
      <c r="D105" s="111">
        <v>10631980</v>
      </c>
      <c r="E105" s="77"/>
      <c r="F105" s="76"/>
      <c r="G105" s="76"/>
      <c r="H105" s="112"/>
      <c r="I105" s="112"/>
      <c r="J105" s="112"/>
      <c r="K105" s="112"/>
      <c r="L105" s="112"/>
    </row>
    <row r="106" spans="1:12" s="113" customFormat="1" ht="38.1" customHeight="1" x14ac:dyDescent="0.25">
      <c r="A106" s="108"/>
      <c r="B106" s="109"/>
      <c r="C106" s="110" t="s">
        <v>130</v>
      </c>
      <c r="D106" s="111">
        <f>316977+341168+359617</f>
        <v>1017762</v>
      </c>
      <c r="E106" s="77"/>
      <c r="F106" s="76"/>
      <c r="G106" s="76"/>
      <c r="H106" s="112"/>
      <c r="I106" s="112"/>
      <c r="J106" s="112"/>
      <c r="K106" s="112"/>
      <c r="L106" s="112"/>
    </row>
    <row r="107" spans="1:12" s="113" customFormat="1" ht="38.1" customHeight="1" x14ac:dyDescent="0.25">
      <c r="A107" s="108"/>
      <c r="B107" s="109"/>
      <c r="C107" s="110" t="s">
        <v>131</v>
      </c>
      <c r="D107" s="111">
        <v>10570000</v>
      </c>
      <c r="E107" s="77"/>
      <c r="F107" s="76"/>
      <c r="G107" s="76"/>
      <c r="H107" s="112"/>
      <c r="I107" s="112"/>
      <c r="J107" s="112"/>
      <c r="K107" s="112"/>
      <c r="L107" s="112"/>
    </row>
    <row r="108" spans="1:12" ht="38.1" customHeight="1" x14ac:dyDescent="0.25">
      <c r="A108" s="11"/>
      <c r="B108" s="19"/>
      <c r="C108" s="60" t="s">
        <v>132</v>
      </c>
      <c r="D108" s="21">
        <v>25488000</v>
      </c>
      <c r="E108" s="6"/>
      <c r="F108" s="5"/>
      <c r="G108" s="5"/>
      <c r="H108" s="1"/>
      <c r="I108" s="1"/>
      <c r="J108" s="1"/>
      <c r="K108" s="1"/>
      <c r="L108" s="1"/>
    </row>
    <row r="109" spans="1:12" ht="38.1" customHeight="1" x14ac:dyDescent="0.25">
      <c r="A109" s="11"/>
      <c r="B109" s="19"/>
      <c r="C109" s="60" t="s">
        <v>135</v>
      </c>
      <c r="D109" s="21">
        <v>19712000</v>
      </c>
      <c r="E109" s="6"/>
      <c r="F109" s="5"/>
      <c r="G109" s="5"/>
      <c r="H109" s="1"/>
      <c r="I109" s="1"/>
      <c r="J109" s="1"/>
      <c r="K109" s="1"/>
      <c r="L109" s="1"/>
    </row>
    <row r="110" spans="1:12" ht="38.1" customHeight="1" x14ac:dyDescent="0.25">
      <c r="A110" s="11"/>
      <c r="B110" s="19"/>
      <c r="C110" s="20" t="s">
        <v>69</v>
      </c>
      <c r="D110" s="21">
        <f>H110-H96-11890595</f>
        <v>80975200</v>
      </c>
      <c r="E110" s="6"/>
      <c r="F110" s="5"/>
      <c r="G110" s="5"/>
      <c r="H110" s="114">
        <v>290676630</v>
      </c>
      <c r="I110" s="1"/>
      <c r="J110" s="1"/>
      <c r="K110" s="1"/>
      <c r="L110" s="1"/>
    </row>
    <row r="111" spans="1:12" ht="38.1" customHeight="1" x14ac:dyDescent="0.25">
      <c r="A111" s="22" t="s">
        <v>29</v>
      </c>
      <c r="B111" s="22"/>
      <c r="C111" s="22" t="s">
        <v>30</v>
      </c>
      <c r="D111" s="16">
        <f>SUM(D112:D166)/2</f>
        <v>2846411986</v>
      </c>
      <c r="E111" s="6"/>
      <c r="F111" s="5"/>
      <c r="G111" s="5"/>
      <c r="H111" s="1"/>
      <c r="I111" s="1"/>
      <c r="J111" s="1"/>
      <c r="K111" s="1"/>
      <c r="L111" s="1"/>
    </row>
    <row r="112" spans="1:12" ht="38.1" customHeight="1" x14ac:dyDescent="0.25">
      <c r="A112" s="12">
        <v>1</v>
      </c>
      <c r="B112" s="12"/>
      <c r="C112" s="12" t="s">
        <v>31</v>
      </c>
      <c r="D112" s="57">
        <f>D113++D114+D115+D116</f>
        <v>77758550</v>
      </c>
      <c r="E112" s="6"/>
      <c r="F112" s="5"/>
      <c r="G112" s="5"/>
      <c r="H112" s="1"/>
      <c r="I112" s="1"/>
      <c r="J112" s="1"/>
      <c r="K112" s="1"/>
      <c r="L112" s="1"/>
    </row>
    <row r="113" spans="1:12" s="61" customFormat="1" ht="38.1" customHeight="1" x14ac:dyDescent="0.25">
      <c r="A113" s="22"/>
      <c r="B113" s="9"/>
      <c r="C113" s="62" t="s">
        <v>70</v>
      </c>
      <c r="D113" s="6">
        <f>4000000+7000000</f>
        <v>11000000</v>
      </c>
      <c r="E113" s="16"/>
      <c r="F113" s="22"/>
      <c r="G113" s="22"/>
      <c r="H113" s="2"/>
      <c r="I113" s="2"/>
      <c r="J113" s="2"/>
      <c r="K113" s="2"/>
      <c r="L113" s="2"/>
    </row>
    <row r="114" spans="1:12" s="61" customFormat="1" ht="38.1" customHeight="1" x14ac:dyDescent="0.25">
      <c r="A114" s="22"/>
      <c r="B114" s="22"/>
      <c r="C114" s="62" t="s">
        <v>71</v>
      </c>
      <c r="D114" s="6">
        <v>620000</v>
      </c>
      <c r="E114" s="16"/>
      <c r="F114" s="22"/>
      <c r="G114" s="22"/>
      <c r="H114" s="2"/>
      <c r="I114" s="2"/>
      <c r="J114" s="2"/>
      <c r="K114" s="2"/>
      <c r="L114" s="2"/>
    </row>
    <row r="115" spans="1:12" s="61" customFormat="1" ht="38.1" customHeight="1" x14ac:dyDescent="0.25">
      <c r="A115" s="22"/>
      <c r="B115" s="22"/>
      <c r="C115" s="62" t="s">
        <v>138</v>
      </c>
      <c r="D115" s="6">
        <v>2220000</v>
      </c>
      <c r="E115" s="16"/>
      <c r="F115" s="22"/>
      <c r="G115" s="22"/>
      <c r="H115" s="2"/>
      <c r="I115" s="2"/>
      <c r="J115" s="2"/>
      <c r="K115" s="2"/>
      <c r="L115" s="2"/>
    </row>
    <row r="116" spans="1:12" s="61" customFormat="1" ht="38.1" customHeight="1" x14ac:dyDescent="0.25">
      <c r="A116" s="22"/>
      <c r="B116" s="9"/>
      <c r="C116" s="62" t="s">
        <v>136</v>
      </c>
      <c r="D116" s="6">
        <f>40646500+23272050</f>
        <v>63918550</v>
      </c>
      <c r="E116" s="16"/>
      <c r="F116" s="22"/>
      <c r="G116" s="22"/>
      <c r="H116" s="2"/>
      <c r="I116" s="2"/>
      <c r="J116" s="2"/>
      <c r="K116" s="2"/>
      <c r="L116" s="2"/>
    </row>
    <row r="117" spans="1:12" ht="38.1" customHeight="1" x14ac:dyDescent="0.25">
      <c r="A117" s="12">
        <v>2</v>
      </c>
      <c r="B117" s="12"/>
      <c r="C117" s="12" t="s">
        <v>32</v>
      </c>
      <c r="D117" s="13">
        <f>SUM(D118:D121)</f>
        <v>1045851561</v>
      </c>
      <c r="E117" s="6"/>
      <c r="F117" s="74"/>
      <c r="G117" s="5"/>
      <c r="H117" s="1"/>
      <c r="I117" s="1"/>
      <c r="J117" s="1"/>
      <c r="K117" s="1"/>
      <c r="L117" s="1"/>
    </row>
    <row r="118" spans="1:12" s="63" customFormat="1" ht="38.1" customHeight="1" x14ac:dyDescent="0.25">
      <c r="A118" s="12"/>
      <c r="B118" s="64"/>
      <c r="C118" s="68" t="s">
        <v>72</v>
      </c>
      <c r="D118" s="67">
        <f>140628439+389996413</f>
        <v>530624852</v>
      </c>
      <c r="E118" s="6"/>
      <c r="F118" s="74"/>
      <c r="G118" s="5"/>
      <c r="H118" s="1"/>
      <c r="I118" s="1"/>
      <c r="J118" s="1"/>
      <c r="K118" s="1"/>
      <c r="L118" s="1"/>
    </row>
    <row r="119" spans="1:12" s="63" customFormat="1" ht="38.1" customHeight="1" x14ac:dyDescent="0.25">
      <c r="A119" s="12"/>
      <c r="B119" s="4"/>
      <c r="C119" s="5" t="s">
        <v>73</v>
      </c>
      <c r="D119" s="21">
        <f>15187500+142488000</f>
        <v>157675500</v>
      </c>
      <c r="E119" s="6"/>
      <c r="F119" s="5"/>
      <c r="G119" s="5"/>
      <c r="H119" s="1"/>
      <c r="I119" s="1"/>
      <c r="J119" s="1"/>
      <c r="K119" s="1"/>
      <c r="L119" s="1"/>
    </row>
    <row r="120" spans="1:12" s="63" customFormat="1" ht="38.1" customHeight="1" x14ac:dyDescent="0.25">
      <c r="A120" s="5"/>
      <c r="B120" s="62"/>
      <c r="C120" s="62" t="s">
        <v>23</v>
      </c>
      <c r="D120" s="67">
        <f>255495695+77918514</f>
        <v>333414209</v>
      </c>
      <c r="E120" s="6"/>
      <c r="F120" s="5"/>
      <c r="G120" s="5"/>
      <c r="H120" s="1"/>
      <c r="I120" s="1"/>
      <c r="J120" s="1"/>
      <c r="K120" s="1"/>
      <c r="L120" s="1"/>
    </row>
    <row r="121" spans="1:12" s="63" customFormat="1" ht="38.1" customHeight="1" x14ac:dyDescent="0.25">
      <c r="A121" s="5"/>
      <c r="B121" s="5"/>
      <c r="C121" s="62" t="s">
        <v>137</v>
      </c>
      <c r="D121" s="69">
        <v>24137000</v>
      </c>
      <c r="E121" s="6"/>
      <c r="F121" s="5"/>
      <c r="G121" s="5"/>
      <c r="H121" s="1"/>
      <c r="I121" s="1"/>
      <c r="J121" s="1"/>
      <c r="K121" s="1"/>
      <c r="L121" s="1"/>
    </row>
    <row r="122" spans="1:12" s="63" customFormat="1" ht="38.1" customHeight="1" x14ac:dyDescent="0.25">
      <c r="A122" s="12">
        <v>3</v>
      </c>
      <c r="B122" s="12"/>
      <c r="C122" s="12" t="s">
        <v>34</v>
      </c>
      <c r="D122" s="13">
        <f>SUM(D123:D128)</f>
        <v>511881356</v>
      </c>
      <c r="E122" s="6"/>
      <c r="F122" s="5"/>
      <c r="G122" s="5"/>
      <c r="H122" s="1"/>
      <c r="I122" s="1"/>
      <c r="J122" s="1"/>
      <c r="K122" s="1"/>
      <c r="L122" s="1"/>
    </row>
    <row r="123" spans="1:12" s="63" customFormat="1" ht="38.1" customHeight="1" x14ac:dyDescent="0.25">
      <c r="A123" s="5"/>
      <c r="B123" s="23"/>
      <c r="C123" s="68" t="s">
        <v>72</v>
      </c>
      <c r="D123" s="69">
        <f>311941857+94130435</f>
        <v>406072292</v>
      </c>
      <c r="E123" s="6"/>
      <c r="F123" s="74"/>
      <c r="G123" s="5"/>
      <c r="H123" s="1"/>
      <c r="I123" s="1"/>
      <c r="J123" s="1"/>
      <c r="K123" s="1"/>
      <c r="L123" s="1"/>
    </row>
    <row r="124" spans="1:12" s="63" customFormat="1" ht="38.1" customHeight="1" x14ac:dyDescent="0.25">
      <c r="A124" s="5"/>
      <c r="B124" s="23"/>
      <c r="C124" s="5" t="s">
        <v>73</v>
      </c>
      <c r="D124" s="69"/>
      <c r="E124" s="6"/>
      <c r="F124" s="5"/>
      <c r="G124" s="5"/>
      <c r="H124" s="1"/>
      <c r="I124" s="1"/>
      <c r="J124" s="1"/>
      <c r="K124" s="1"/>
      <c r="L124" s="1"/>
    </row>
    <row r="125" spans="1:12" s="63" customFormat="1" ht="38.1" customHeight="1" x14ac:dyDescent="0.25">
      <c r="A125" s="5"/>
      <c r="B125" s="23"/>
      <c r="C125" s="62" t="s">
        <v>23</v>
      </c>
      <c r="D125" s="69">
        <f>38895787+49546232</f>
        <v>88442019</v>
      </c>
      <c r="E125" s="6"/>
      <c r="F125" s="62"/>
      <c r="G125" s="62"/>
      <c r="H125" s="65"/>
      <c r="I125" s="66"/>
      <c r="J125" s="1"/>
      <c r="K125" s="1"/>
      <c r="L125" s="1"/>
    </row>
    <row r="126" spans="1:12" s="63" customFormat="1" ht="38.1" customHeight="1" x14ac:dyDescent="0.25">
      <c r="A126" s="5"/>
      <c r="B126" s="62"/>
      <c r="C126" s="62" t="s">
        <v>137</v>
      </c>
      <c r="D126" s="6">
        <v>16341000</v>
      </c>
      <c r="E126" s="6"/>
      <c r="F126" s="5"/>
      <c r="G126" s="5"/>
      <c r="H126" s="1"/>
      <c r="I126" s="1"/>
      <c r="J126" s="1"/>
      <c r="K126" s="1"/>
      <c r="L126" s="1"/>
    </row>
    <row r="127" spans="1:12" s="63" customFormat="1" ht="38.1" customHeight="1" x14ac:dyDescent="0.25">
      <c r="A127" s="5"/>
      <c r="B127" s="62"/>
      <c r="C127" s="62" t="s">
        <v>140</v>
      </c>
      <c r="D127" s="6">
        <v>410418</v>
      </c>
      <c r="E127" s="6"/>
      <c r="F127" s="5"/>
      <c r="G127" s="5"/>
      <c r="H127" s="1"/>
      <c r="I127" s="1"/>
      <c r="J127" s="1"/>
      <c r="K127" s="1"/>
      <c r="L127" s="1"/>
    </row>
    <row r="128" spans="1:12" s="63" customFormat="1" ht="38.1" customHeight="1" x14ac:dyDescent="0.25">
      <c r="A128" s="5"/>
      <c r="B128" s="62"/>
      <c r="C128" s="62" t="s">
        <v>139</v>
      </c>
      <c r="D128" s="6">
        <v>615627</v>
      </c>
      <c r="E128" s="6"/>
      <c r="F128" s="5"/>
      <c r="G128" s="5"/>
      <c r="H128" s="1"/>
      <c r="I128" s="1"/>
      <c r="J128" s="1"/>
      <c r="K128" s="1"/>
      <c r="L128" s="1"/>
    </row>
    <row r="129" spans="1:12" s="63" customFormat="1" ht="38.1" customHeight="1" x14ac:dyDescent="0.25">
      <c r="A129" s="12">
        <v>4</v>
      </c>
      <c r="B129" s="12"/>
      <c r="C129" s="12" t="s">
        <v>74</v>
      </c>
      <c r="D129" s="13">
        <f>SUM(D130:D131)</f>
        <v>57000000</v>
      </c>
      <c r="E129" s="6"/>
      <c r="F129" s="5"/>
      <c r="G129" s="5"/>
      <c r="H129" s="1"/>
      <c r="I129" s="1"/>
      <c r="J129" s="1"/>
      <c r="K129" s="1"/>
      <c r="L129" s="1"/>
    </row>
    <row r="130" spans="1:12" s="63" customFormat="1" ht="38.1" customHeight="1" x14ac:dyDescent="0.25">
      <c r="A130" s="4"/>
      <c r="B130" s="4"/>
      <c r="C130" s="68" t="s">
        <v>75</v>
      </c>
      <c r="D130" s="69">
        <f>19000000+38000000</f>
        <v>57000000</v>
      </c>
      <c r="E130" s="6"/>
      <c r="F130" s="5"/>
      <c r="G130" s="5"/>
      <c r="H130" s="1"/>
      <c r="I130" s="1"/>
      <c r="J130" s="1"/>
      <c r="K130" s="1"/>
      <c r="L130" s="1"/>
    </row>
    <row r="131" spans="1:12" s="63" customFormat="1" ht="38.1" customHeight="1" x14ac:dyDescent="0.25">
      <c r="A131" s="5"/>
      <c r="B131" s="5"/>
      <c r="C131" s="62" t="s">
        <v>137</v>
      </c>
      <c r="D131" s="6"/>
      <c r="E131" s="6"/>
      <c r="F131" s="5"/>
      <c r="G131" s="5"/>
      <c r="H131" s="1"/>
      <c r="I131" s="1"/>
      <c r="J131" s="1"/>
      <c r="K131" s="1"/>
      <c r="L131" s="1"/>
    </row>
    <row r="132" spans="1:12" s="63" customFormat="1" ht="38.1" customHeight="1" x14ac:dyDescent="0.25">
      <c r="A132" s="12">
        <v>5</v>
      </c>
      <c r="B132" s="12"/>
      <c r="C132" s="12" t="s">
        <v>76</v>
      </c>
      <c r="D132" s="13">
        <f>SUM(D133:D137)</f>
        <v>109055649</v>
      </c>
      <c r="E132" s="6"/>
      <c r="F132" s="5"/>
      <c r="G132" s="5"/>
      <c r="H132" s="1"/>
      <c r="I132" s="1"/>
      <c r="J132" s="1"/>
      <c r="K132" s="1"/>
      <c r="L132" s="1"/>
    </row>
    <row r="133" spans="1:12" s="63" customFormat="1" ht="38.1" customHeight="1" x14ac:dyDescent="0.25">
      <c r="A133" s="5"/>
      <c r="B133" s="5"/>
      <c r="C133" s="68" t="s">
        <v>77</v>
      </c>
      <c r="D133" s="6">
        <f>36845000+8656000</f>
        <v>45501000</v>
      </c>
      <c r="E133" s="6"/>
      <c r="F133" s="5"/>
      <c r="G133" s="5"/>
      <c r="H133" s="1"/>
      <c r="I133" s="1"/>
      <c r="J133" s="1"/>
      <c r="K133" s="1"/>
      <c r="L133" s="1"/>
    </row>
    <row r="134" spans="1:12" s="63" customFormat="1" ht="38.1" customHeight="1" x14ac:dyDescent="0.25">
      <c r="A134" s="5"/>
      <c r="B134" s="62"/>
      <c r="C134" s="62" t="s">
        <v>137</v>
      </c>
      <c r="D134" s="67">
        <v>3349000</v>
      </c>
      <c r="E134" s="6"/>
      <c r="F134" s="74"/>
      <c r="G134" s="5"/>
      <c r="H134" s="1"/>
      <c r="I134" s="1"/>
      <c r="J134" s="1"/>
      <c r="K134" s="1"/>
      <c r="L134" s="1"/>
    </row>
    <row r="135" spans="1:12" s="63" customFormat="1" ht="38.1" customHeight="1" x14ac:dyDescent="0.25">
      <c r="A135" s="5"/>
      <c r="B135" s="5"/>
      <c r="C135" s="5" t="s">
        <v>78</v>
      </c>
      <c r="D135" s="6">
        <f>46984238+10837239</f>
        <v>57821477</v>
      </c>
      <c r="E135" s="6"/>
      <c r="F135" s="5"/>
      <c r="G135" s="5"/>
      <c r="H135" s="1"/>
      <c r="I135" s="1"/>
      <c r="J135" s="1"/>
      <c r="K135" s="1"/>
      <c r="L135" s="1"/>
    </row>
    <row r="136" spans="1:12" s="63" customFormat="1" ht="38.1" customHeight="1" x14ac:dyDescent="0.25">
      <c r="A136" s="5"/>
      <c r="B136" s="5"/>
      <c r="C136" s="62" t="s">
        <v>140</v>
      </c>
      <c r="D136" s="6">
        <v>953668</v>
      </c>
      <c r="E136" s="6"/>
      <c r="F136" s="5"/>
      <c r="G136" s="5"/>
      <c r="H136" s="1"/>
      <c r="I136" s="1"/>
      <c r="J136" s="1"/>
      <c r="K136" s="1"/>
      <c r="L136" s="1"/>
    </row>
    <row r="137" spans="1:12" s="63" customFormat="1" ht="38.1" customHeight="1" x14ac:dyDescent="0.25">
      <c r="A137" s="5"/>
      <c r="B137" s="5"/>
      <c r="C137" s="62" t="s">
        <v>139</v>
      </c>
      <c r="D137" s="6">
        <v>1430504</v>
      </c>
      <c r="E137" s="6"/>
      <c r="F137" s="5"/>
      <c r="G137" s="5"/>
      <c r="H137" s="1"/>
      <c r="I137" s="1"/>
      <c r="J137" s="1"/>
      <c r="K137" s="1"/>
      <c r="L137" s="1"/>
    </row>
    <row r="138" spans="1:12" s="63" customFormat="1" ht="38.1" customHeight="1" x14ac:dyDescent="0.25">
      <c r="A138" s="12">
        <v>6</v>
      </c>
      <c r="B138" s="12"/>
      <c r="C138" s="12" t="s">
        <v>79</v>
      </c>
      <c r="D138" s="13">
        <f>SUM(D139:D144)</f>
        <v>153653021</v>
      </c>
      <c r="E138" s="6"/>
      <c r="F138" s="5"/>
      <c r="G138" s="5"/>
      <c r="H138" s="1"/>
      <c r="I138" s="1"/>
      <c r="J138" s="1"/>
      <c r="K138" s="1"/>
      <c r="L138" s="1"/>
    </row>
    <row r="139" spans="1:12" s="63" customFormat="1" ht="38.1" customHeight="1" x14ac:dyDescent="0.25">
      <c r="A139" s="12"/>
      <c r="B139" s="12"/>
      <c r="C139" s="68" t="s">
        <v>97</v>
      </c>
      <c r="D139" s="21">
        <v>122300000</v>
      </c>
      <c r="E139" s="6"/>
      <c r="F139" s="5"/>
      <c r="G139" s="5"/>
      <c r="H139" s="1"/>
      <c r="I139" s="1"/>
      <c r="J139" s="1"/>
      <c r="K139" s="1"/>
      <c r="L139" s="1"/>
    </row>
    <row r="140" spans="1:12" s="63" customFormat="1" ht="38.1" customHeight="1" x14ac:dyDescent="0.25">
      <c r="A140" s="12"/>
      <c r="B140" s="12"/>
      <c r="C140" s="5" t="s">
        <v>73</v>
      </c>
      <c r="D140" s="21"/>
      <c r="E140" s="6"/>
      <c r="F140" s="5"/>
      <c r="G140" s="5"/>
      <c r="H140" s="1"/>
      <c r="I140" s="1"/>
      <c r="J140" s="1"/>
      <c r="K140" s="1"/>
      <c r="L140" s="1"/>
    </row>
    <row r="141" spans="1:12" s="63" customFormat="1" ht="38.1" customHeight="1" x14ac:dyDescent="0.25">
      <c r="A141" s="12"/>
      <c r="B141" s="12"/>
      <c r="C141" s="5" t="s">
        <v>78</v>
      </c>
      <c r="D141" s="21">
        <f>4100000+21255765</f>
        <v>25355765</v>
      </c>
      <c r="E141" s="6"/>
      <c r="F141" s="5"/>
      <c r="G141" s="5"/>
      <c r="H141" s="1"/>
      <c r="I141" s="1"/>
      <c r="J141" s="1"/>
      <c r="K141" s="1"/>
      <c r="L141" s="1"/>
    </row>
    <row r="142" spans="1:12" s="63" customFormat="1" ht="38.1" customHeight="1" x14ac:dyDescent="0.25">
      <c r="A142" s="5"/>
      <c r="B142" s="4"/>
      <c r="C142" s="62" t="s">
        <v>138</v>
      </c>
      <c r="D142" s="6">
        <v>4997000</v>
      </c>
      <c r="E142" s="6"/>
      <c r="F142" s="5"/>
      <c r="G142" s="5"/>
      <c r="H142" s="1"/>
      <c r="I142" s="1"/>
      <c r="J142" s="1"/>
      <c r="K142" s="1"/>
      <c r="L142" s="1"/>
    </row>
    <row r="143" spans="1:12" s="63" customFormat="1" ht="38.1" customHeight="1" x14ac:dyDescent="0.25">
      <c r="A143" s="5"/>
      <c r="B143" s="4"/>
      <c r="C143" s="62" t="s">
        <v>140</v>
      </c>
      <c r="D143" s="6">
        <v>400102</v>
      </c>
      <c r="E143" s="6"/>
      <c r="F143" s="5"/>
      <c r="G143" s="5"/>
      <c r="H143" s="1"/>
      <c r="I143" s="1"/>
      <c r="J143" s="1"/>
      <c r="K143" s="1"/>
      <c r="L143" s="1"/>
    </row>
    <row r="144" spans="1:12" s="63" customFormat="1" ht="38.1" customHeight="1" x14ac:dyDescent="0.25">
      <c r="A144" s="5"/>
      <c r="B144" s="4"/>
      <c r="C144" s="62" t="s">
        <v>139</v>
      </c>
      <c r="D144" s="6">
        <v>600154</v>
      </c>
      <c r="E144" s="6"/>
      <c r="F144" s="5"/>
      <c r="G144" s="5"/>
      <c r="H144" s="1"/>
      <c r="I144" s="1"/>
      <c r="J144" s="1"/>
      <c r="K144" s="1"/>
      <c r="L144" s="1"/>
    </row>
    <row r="145" spans="1:12" s="63" customFormat="1" ht="38.1" customHeight="1" x14ac:dyDescent="0.25">
      <c r="A145" s="12">
        <v>7</v>
      </c>
      <c r="B145" s="12"/>
      <c r="C145" s="12" t="s">
        <v>47</v>
      </c>
      <c r="D145" s="13">
        <f>SUM(D146:D148)</f>
        <v>107160000</v>
      </c>
      <c r="E145" s="6"/>
      <c r="F145" s="5"/>
      <c r="G145" s="5"/>
      <c r="H145" s="1"/>
      <c r="I145" s="1"/>
      <c r="J145" s="1"/>
      <c r="K145" s="1"/>
      <c r="L145" s="1"/>
    </row>
    <row r="146" spans="1:12" s="63" customFormat="1" ht="38.1" customHeight="1" x14ac:dyDescent="0.25">
      <c r="A146" s="5"/>
      <c r="B146" s="4"/>
      <c r="C146" s="62" t="s">
        <v>138</v>
      </c>
      <c r="D146" s="6">
        <f>3560000+1000000+11260000</f>
        <v>15820000</v>
      </c>
      <c r="E146" s="6"/>
      <c r="F146" s="5"/>
      <c r="G146" s="5"/>
      <c r="H146" s="1"/>
      <c r="I146" s="1"/>
      <c r="J146" s="1"/>
      <c r="K146" s="1"/>
      <c r="L146" s="1"/>
    </row>
    <row r="147" spans="1:12" s="63" customFormat="1" ht="38.1" customHeight="1" x14ac:dyDescent="0.25">
      <c r="A147" s="5"/>
      <c r="B147" s="4"/>
      <c r="C147" s="62" t="s">
        <v>140</v>
      </c>
      <c r="D147" s="6">
        <v>36536000</v>
      </c>
      <c r="E147" s="6"/>
      <c r="F147" s="5"/>
      <c r="G147" s="5"/>
      <c r="H147" s="1"/>
      <c r="I147" s="1"/>
      <c r="J147" s="1"/>
      <c r="K147" s="1"/>
      <c r="L147" s="1"/>
    </row>
    <row r="148" spans="1:12" s="63" customFormat="1" ht="38.1" customHeight="1" x14ac:dyDescent="0.25">
      <c r="A148" s="5"/>
      <c r="B148" s="4"/>
      <c r="C148" s="62" t="s">
        <v>139</v>
      </c>
      <c r="D148" s="6">
        <v>54804000</v>
      </c>
      <c r="E148" s="6"/>
      <c r="F148" s="5"/>
      <c r="G148" s="5"/>
      <c r="H148" s="1"/>
      <c r="I148" s="1"/>
      <c r="J148" s="1"/>
      <c r="K148" s="1"/>
      <c r="L148" s="1"/>
    </row>
    <row r="149" spans="1:12" s="63" customFormat="1" ht="38.1" customHeight="1" x14ac:dyDescent="0.25">
      <c r="A149" s="12">
        <v>8</v>
      </c>
      <c r="B149" s="12"/>
      <c r="C149" s="12" t="s">
        <v>81</v>
      </c>
      <c r="D149" s="13">
        <f>SUM(D150:D159)</f>
        <v>561247043</v>
      </c>
      <c r="E149" s="6"/>
      <c r="F149" s="5"/>
      <c r="G149" s="5"/>
      <c r="H149" s="1"/>
      <c r="I149" s="1"/>
      <c r="J149" s="1"/>
      <c r="K149" s="1"/>
      <c r="L149" s="1"/>
    </row>
    <row r="150" spans="1:12" s="63" customFormat="1" ht="38.1" customHeight="1" x14ac:dyDescent="0.25">
      <c r="A150" s="62"/>
      <c r="B150" s="62"/>
      <c r="C150" s="76" t="s">
        <v>80</v>
      </c>
      <c r="D150" s="77">
        <f>10850351+7059113+3000000+8633979+5404029</f>
        <v>34947472</v>
      </c>
      <c r="E150" s="6"/>
      <c r="F150" s="74"/>
      <c r="G150" s="6"/>
      <c r="H150" s="70"/>
      <c r="I150" s="1"/>
      <c r="J150" s="1"/>
      <c r="K150" s="1"/>
      <c r="L150" s="1"/>
    </row>
    <row r="151" spans="1:12" s="63" customFormat="1" ht="38.1" customHeight="1" x14ac:dyDescent="0.25">
      <c r="A151" s="62"/>
      <c r="B151" s="62"/>
      <c r="C151" s="76" t="s">
        <v>98</v>
      </c>
      <c r="D151" s="77">
        <f>4524790+5851430</f>
        <v>10376220</v>
      </c>
      <c r="E151" s="6"/>
      <c r="F151" s="74"/>
      <c r="G151" s="6"/>
      <c r="H151" s="70"/>
      <c r="I151" s="1"/>
      <c r="J151" s="1"/>
      <c r="K151" s="1"/>
      <c r="L151" s="1"/>
    </row>
    <row r="152" spans="1:12" s="63" customFormat="1" ht="38.1" customHeight="1" x14ac:dyDescent="0.25">
      <c r="A152" s="62"/>
      <c r="B152" s="62"/>
      <c r="C152" s="76" t="s">
        <v>99</v>
      </c>
      <c r="D152" s="77">
        <v>5174500</v>
      </c>
      <c r="E152" s="6"/>
      <c r="F152" s="74"/>
      <c r="G152" s="6"/>
      <c r="H152" s="70"/>
      <c r="I152" s="1"/>
      <c r="J152" s="1"/>
      <c r="K152" s="1"/>
      <c r="L152" s="1"/>
    </row>
    <row r="153" spans="1:12" s="63" customFormat="1" ht="38.1" customHeight="1" x14ac:dyDescent="0.25">
      <c r="A153" s="62"/>
      <c r="B153" s="5"/>
      <c r="C153" s="5" t="s">
        <v>82</v>
      </c>
      <c r="D153" s="6">
        <f>2942000+3840000</f>
        <v>6782000</v>
      </c>
      <c r="E153" s="6"/>
      <c r="F153" s="5"/>
      <c r="G153" s="6"/>
      <c r="H153" s="70"/>
      <c r="I153" s="1"/>
      <c r="J153" s="1"/>
      <c r="K153" s="1"/>
      <c r="L153" s="1"/>
    </row>
    <row r="154" spans="1:12" s="63" customFormat="1" ht="38.1" customHeight="1" x14ac:dyDescent="0.25">
      <c r="A154" s="5"/>
      <c r="B154" s="5"/>
      <c r="C154" s="5" t="s">
        <v>83</v>
      </c>
      <c r="D154" s="6">
        <f>1376000+877000+2374000</f>
        <v>4627000</v>
      </c>
      <c r="E154" s="6"/>
      <c r="F154" s="5"/>
      <c r="G154" s="6"/>
      <c r="H154" s="70"/>
      <c r="I154" s="1"/>
      <c r="J154" s="1"/>
      <c r="K154" s="1"/>
      <c r="L154" s="1"/>
    </row>
    <row r="155" spans="1:12" s="63" customFormat="1" ht="38.1" customHeight="1" x14ac:dyDescent="0.25">
      <c r="A155" s="5"/>
      <c r="B155" s="5"/>
      <c r="C155" s="5" t="s">
        <v>84</v>
      </c>
      <c r="D155" s="6">
        <f>37633591+20209400+13286260+17456544+8353150+6170000+20257830</f>
        <v>123366775</v>
      </c>
      <c r="E155" s="6"/>
      <c r="F155" s="5"/>
      <c r="G155" s="6"/>
      <c r="H155" s="70"/>
      <c r="I155" s="1"/>
      <c r="J155" s="1"/>
      <c r="K155" s="1"/>
      <c r="L155" s="1"/>
    </row>
    <row r="156" spans="1:12" s="63" customFormat="1" ht="38.1" customHeight="1" x14ac:dyDescent="0.25">
      <c r="A156" s="5"/>
      <c r="B156" s="5"/>
      <c r="C156" s="76" t="s">
        <v>85</v>
      </c>
      <c r="D156" s="77">
        <f>25930800+27741840+25930800+29058960+27247920+26918640+26918640+38079860+38127880+14617400+35946400+47711300</f>
        <v>364230440</v>
      </c>
      <c r="E156" s="6"/>
      <c r="F156" s="5"/>
      <c r="G156" s="6"/>
      <c r="H156" s="70"/>
      <c r="I156" s="1"/>
      <c r="J156" s="1"/>
      <c r="K156" s="1"/>
      <c r="L156" s="1"/>
    </row>
    <row r="157" spans="1:12" s="63" customFormat="1" ht="38.1" customHeight="1" x14ac:dyDescent="0.25">
      <c r="A157" s="5"/>
      <c r="B157" s="5"/>
      <c r="C157" s="5" t="s">
        <v>138</v>
      </c>
      <c r="D157" s="77">
        <f>5506800+2608900+1472000</f>
        <v>9587700</v>
      </c>
      <c r="E157" s="6"/>
      <c r="F157" s="5"/>
      <c r="G157" s="6"/>
      <c r="H157" s="70"/>
      <c r="I157" s="1"/>
      <c r="J157" s="1"/>
      <c r="K157" s="1"/>
      <c r="L157" s="1"/>
    </row>
    <row r="158" spans="1:12" s="63" customFormat="1" ht="38.1" customHeight="1" x14ac:dyDescent="0.25">
      <c r="A158" s="5"/>
      <c r="B158" s="5"/>
      <c r="C158" s="5" t="s">
        <v>140</v>
      </c>
      <c r="D158" s="77">
        <f>377600+429581</f>
        <v>807181</v>
      </c>
      <c r="E158" s="6"/>
      <c r="F158" s="5"/>
      <c r="G158" s="6"/>
      <c r="H158" s="70"/>
      <c r="I158" s="1"/>
      <c r="J158" s="1"/>
      <c r="K158" s="1"/>
      <c r="L158" s="1"/>
    </row>
    <row r="159" spans="1:12" s="63" customFormat="1" ht="38.1" customHeight="1" x14ac:dyDescent="0.25">
      <c r="A159" s="5"/>
      <c r="B159" s="5"/>
      <c r="C159" s="5" t="s">
        <v>139</v>
      </c>
      <c r="D159" s="77">
        <f>644373+57825+79002+566555</f>
        <v>1347755</v>
      </c>
      <c r="E159" s="6"/>
      <c r="F159" s="5"/>
      <c r="G159" s="6"/>
      <c r="H159" s="70"/>
      <c r="I159" s="1"/>
      <c r="J159" s="1"/>
      <c r="K159" s="1"/>
      <c r="L159" s="1"/>
    </row>
    <row r="160" spans="1:12" ht="38.1" customHeight="1" x14ac:dyDescent="0.25">
      <c r="A160" s="14">
        <v>9</v>
      </c>
      <c r="B160" s="14"/>
      <c r="C160" s="14" t="s">
        <v>33</v>
      </c>
      <c r="D160" s="15">
        <f>SUM(D161:D166)</f>
        <v>222804806</v>
      </c>
      <c r="E160" s="6"/>
      <c r="F160" s="74"/>
      <c r="G160" s="6"/>
      <c r="H160" s="58"/>
      <c r="I160" s="1"/>
      <c r="J160" s="1"/>
      <c r="K160" s="1"/>
      <c r="L160" s="1"/>
    </row>
    <row r="161" spans="1:12" ht="38.1" customHeight="1" x14ac:dyDescent="0.25">
      <c r="A161" s="5"/>
      <c r="B161" s="62"/>
      <c r="C161" s="62" t="s">
        <v>86</v>
      </c>
      <c r="D161" s="6">
        <v>5350000</v>
      </c>
      <c r="E161" s="6"/>
      <c r="F161" s="5"/>
      <c r="G161" s="74"/>
      <c r="H161" s="1"/>
      <c r="I161" s="1"/>
      <c r="J161" s="1"/>
      <c r="K161" s="1"/>
      <c r="L161" s="1"/>
    </row>
    <row r="162" spans="1:12" ht="38.1" customHeight="1" x14ac:dyDescent="0.25">
      <c r="A162" s="5"/>
      <c r="B162" s="62"/>
      <c r="C162" s="62" t="s">
        <v>87</v>
      </c>
      <c r="D162" s="6">
        <v>8700000</v>
      </c>
      <c r="E162" s="6"/>
      <c r="F162" s="5"/>
      <c r="G162" s="5"/>
      <c r="H162" s="1"/>
      <c r="I162" s="1"/>
      <c r="J162" s="1"/>
      <c r="K162" s="1"/>
      <c r="L162" s="1"/>
    </row>
    <row r="163" spans="1:12" ht="38.1" customHeight="1" x14ac:dyDescent="0.25">
      <c r="A163" s="5"/>
      <c r="B163" s="62"/>
      <c r="C163" s="62" t="s">
        <v>88</v>
      </c>
      <c r="D163" s="6">
        <v>4923600</v>
      </c>
      <c r="E163" s="6"/>
      <c r="F163" s="5"/>
      <c r="G163" s="5"/>
      <c r="H163" s="1"/>
      <c r="I163" s="1"/>
      <c r="J163" s="1"/>
      <c r="K163" s="1"/>
      <c r="L163" s="1"/>
    </row>
    <row r="164" spans="1:12" ht="38.1" customHeight="1" x14ac:dyDescent="0.25">
      <c r="A164" s="5"/>
      <c r="B164" s="62"/>
      <c r="C164" s="62" t="s">
        <v>89</v>
      </c>
      <c r="D164" s="6">
        <v>14400000</v>
      </c>
      <c r="E164" s="6"/>
      <c r="F164" s="5"/>
      <c r="G164" s="5"/>
      <c r="H164" s="1"/>
      <c r="I164" s="1"/>
      <c r="J164" s="1"/>
      <c r="K164" s="1"/>
      <c r="L164" s="1"/>
    </row>
    <row r="165" spans="1:12" ht="38.1" customHeight="1" x14ac:dyDescent="0.25">
      <c r="A165" s="5"/>
      <c r="B165" s="62"/>
      <c r="C165" s="62" t="s">
        <v>138</v>
      </c>
      <c r="D165" s="6">
        <v>2542000</v>
      </c>
      <c r="E165" s="6"/>
      <c r="F165" s="5"/>
      <c r="G165" s="5"/>
      <c r="H165" s="1"/>
      <c r="I165" s="1"/>
      <c r="J165" s="1"/>
      <c r="K165" s="1"/>
      <c r="L165" s="1"/>
    </row>
    <row r="166" spans="1:12" ht="38.1" customHeight="1" x14ac:dyDescent="0.25">
      <c r="A166" s="5"/>
      <c r="B166" s="62"/>
      <c r="C166" s="62" t="s">
        <v>90</v>
      </c>
      <c r="D166" s="6">
        <f>165880606+56924200-D161-D162-D163-D164-D165</f>
        <v>186889206</v>
      </c>
      <c r="E166" s="6"/>
      <c r="F166" s="5"/>
      <c r="G166" s="5"/>
      <c r="H166" s="1"/>
      <c r="I166" s="1"/>
      <c r="J166" s="1"/>
      <c r="K166" s="1"/>
      <c r="L166" s="1"/>
    </row>
    <row r="167" spans="1:12" ht="38.1" customHeight="1" x14ac:dyDescent="0.25">
      <c r="A167" s="5"/>
      <c r="B167" s="5"/>
      <c r="C167" s="24" t="s">
        <v>36</v>
      </c>
      <c r="D167" s="16">
        <f>D168+D170+D172+D174</f>
        <v>4214878838</v>
      </c>
      <c r="E167" s="5"/>
      <c r="F167" s="5"/>
      <c r="G167" s="5"/>
      <c r="H167" s="1"/>
      <c r="I167" s="1"/>
      <c r="J167" s="1"/>
      <c r="K167" s="1"/>
      <c r="L167" s="1"/>
    </row>
    <row r="168" spans="1:12" ht="38.1" customHeight="1" x14ac:dyDescent="0.25">
      <c r="A168" s="14">
        <v>1</v>
      </c>
      <c r="B168" s="14"/>
      <c r="C168" s="14" t="s">
        <v>37</v>
      </c>
      <c r="D168" s="15">
        <f>D169</f>
        <v>3082916299</v>
      </c>
      <c r="E168" s="5"/>
      <c r="F168" s="5"/>
      <c r="G168" s="5"/>
      <c r="H168" s="1"/>
      <c r="I168" s="1"/>
      <c r="J168" s="1"/>
      <c r="K168" s="1"/>
      <c r="L168" s="1"/>
    </row>
    <row r="169" spans="1:12" ht="38.1" customHeight="1" x14ac:dyDescent="0.25">
      <c r="A169" s="5"/>
      <c r="B169" s="5"/>
      <c r="C169" s="7" t="s">
        <v>109</v>
      </c>
      <c r="D169" s="6">
        <f>1526499256+1240298622+316118421</f>
        <v>3082916299</v>
      </c>
      <c r="E169" s="5"/>
      <c r="F169" s="5"/>
      <c r="G169" s="5"/>
      <c r="H169" s="1"/>
      <c r="I169" s="1"/>
      <c r="J169" s="1"/>
      <c r="K169" s="1"/>
      <c r="L169" s="1"/>
    </row>
    <row r="170" spans="1:12" ht="38.1" customHeight="1" x14ac:dyDescent="0.25">
      <c r="A170" s="14">
        <v>2</v>
      </c>
      <c r="B170" s="14"/>
      <c r="C170" s="14" t="s">
        <v>38</v>
      </c>
      <c r="D170" s="15">
        <f>D171</f>
        <v>1037789180</v>
      </c>
      <c r="E170" s="5"/>
      <c r="F170" s="5"/>
      <c r="G170" s="5"/>
      <c r="H170" s="1"/>
      <c r="I170" s="1"/>
      <c r="J170" s="1"/>
      <c r="K170" s="1"/>
      <c r="L170" s="1"/>
    </row>
    <row r="171" spans="1:12" ht="38.1" customHeight="1" x14ac:dyDescent="0.25">
      <c r="A171" s="5"/>
      <c r="B171" s="5"/>
      <c r="C171" s="5" t="s">
        <v>39</v>
      </c>
      <c r="D171" s="6">
        <f>519388203+415804892+102596085</f>
        <v>1037789180</v>
      </c>
      <c r="E171" s="5"/>
      <c r="F171" s="5"/>
      <c r="G171" s="5"/>
      <c r="H171" s="1"/>
      <c r="I171" s="1"/>
      <c r="J171" s="1"/>
      <c r="K171" s="1"/>
      <c r="L171" s="1"/>
    </row>
    <row r="172" spans="1:12" ht="38.1" customHeight="1" x14ac:dyDescent="0.25">
      <c r="A172" s="14">
        <v>3</v>
      </c>
      <c r="B172" s="14"/>
      <c r="C172" s="14" t="s">
        <v>40</v>
      </c>
      <c r="D172" s="15">
        <f>D173</f>
        <v>6396000</v>
      </c>
      <c r="E172" s="5"/>
      <c r="F172" s="5"/>
      <c r="G172" s="5"/>
      <c r="H172" s="1"/>
      <c r="I172" s="1"/>
      <c r="J172" s="1"/>
      <c r="K172" s="1"/>
      <c r="L172" s="1"/>
    </row>
    <row r="173" spans="1:12" ht="38.1" customHeight="1" x14ac:dyDescent="0.25">
      <c r="A173" s="51"/>
      <c r="B173" s="51"/>
      <c r="C173" s="51" t="s">
        <v>41</v>
      </c>
      <c r="D173" s="52">
        <f>6396000</f>
        <v>6396000</v>
      </c>
      <c r="E173" s="5"/>
      <c r="F173" s="5"/>
      <c r="G173" s="5"/>
      <c r="H173" s="1"/>
      <c r="I173" s="1"/>
      <c r="J173" s="1"/>
      <c r="K173" s="1"/>
      <c r="L173" s="1"/>
    </row>
    <row r="174" spans="1:12" ht="38.1" customHeight="1" x14ac:dyDescent="0.25">
      <c r="A174" s="54">
        <v>4</v>
      </c>
      <c r="B174" s="54"/>
      <c r="C174" s="54" t="s">
        <v>48</v>
      </c>
      <c r="D174" s="55">
        <f>D175</f>
        <v>87777359</v>
      </c>
      <c r="E174" s="14"/>
      <c r="F174" s="5"/>
      <c r="G174" s="5"/>
      <c r="H174" s="1"/>
      <c r="I174" s="1"/>
      <c r="J174" s="1"/>
      <c r="K174" s="1"/>
      <c r="L174" s="1"/>
    </row>
    <row r="175" spans="1:12" ht="38.1" customHeight="1" x14ac:dyDescent="0.25">
      <c r="A175" s="18"/>
      <c r="B175" s="18"/>
      <c r="C175" s="18" t="s">
        <v>55</v>
      </c>
      <c r="D175" s="53">
        <f>1805000+85320359+652000</f>
        <v>87777359</v>
      </c>
      <c r="E175" s="75"/>
      <c r="F175" s="75"/>
      <c r="G175" s="75"/>
      <c r="H175" s="1"/>
      <c r="I175" s="1"/>
      <c r="J175" s="1"/>
      <c r="K175" s="1"/>
      <c r="L175" s="1"/>
    </row>
    <row r="176" spans="1:12" ht="26.25" customHeight="1" x14ac:dyDescent="0.25">
      <c r="A176" s="104"/>
      <c r="B176" s="104"/>
      <c r="C176" s="104"/>
      <c r="D176" s="105"/>
      <c r="E176" s="127" t="s">
        <v>141</v>
      </c>
      <c r="F176" s="127"/>
      <c r="G176" s="127"/>
      <c r="H176" s="1"/>
      <c r="I176" s="1"/>
      <c r="J176" s="1"/>
      <c r="K176" s="1"/>
      <c r="L176" s="1"/>
    </row>
    <row r="177" spans="1:12" ht="21.95" customHeight="1" x14ac:dyDescent="0.25">
      <c r="A177" s="128" t="s">
        <v>51</v>
      </c>
      <c r="B177" s="128"/>
      <c r="C177" s="128"/>
      <c r="E177" s="129" t="s">
        <v>50</v>
      </c>
      <c r="F177" s="129"/>
      <c r="G177" s="129"/>
      <c r="H177" s="1"/>
      <c r="I177" s="1"/>
      <c r="J177" s="1"/>
      <c r="K177" s="1"/>
      <c r="L177" s="1"/>
    </row>
    <row r="178" spans="1:12" ht="21.9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21.9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21.95" customHeight="1" x14ac:dyDescent="0.25">
      <c r="A180" s="115" t="s">
        <v>52</v>
      </c>
      <c r="B180" s="115"/>
      <c r="C180" s="115"/>
      <c r="E180" s="116" t="s">
        <v>100</v>
      </c>
      <c r="F180" s="116"/>
      <c r="G180" s="116"/>
      <c r="H180" s="1"/>
      <c r="I180" s="1"/>
      <c r="J180" s="1"/>
      <c r="K180" s="1"/>
      <c r="L180" s="1"/>
    </row>
    <row r="181" spans="1:12" ht="21.9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21.9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21.9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21.9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21.9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21.9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21.9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21.9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21.9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21.9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21.9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21.9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21.9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21.9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21.9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21.9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21.9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21.9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21.9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21.9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21.9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21.9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21.9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21.9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21.9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21.9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21.9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21.9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21.9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21.9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21.9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21.9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21.9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21.9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21.9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21.9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21.9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21.9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21.9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21.9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21.9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21.9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21.9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21.9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21.9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21.9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21.9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21.9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21.9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21.9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21.9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21.9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21.9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21.9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21.9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21.9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21.9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21.9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21.9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21.9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21.9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21.9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21.9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21.9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ht="21.9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ht="21.9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21.9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ht="21.9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ht="21.9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ht="21.9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ht="21.9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21.9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ht="21.9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ht="21.9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ht="21.9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ht="21.9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ht="21.9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ht="21.9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ht="21.9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ht="21.9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ht="21.9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ht="21.9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ht="21.9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21.9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ht="21.9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ht="21.9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21.9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ht="21.9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ht="21.9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ht="21.9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ht="21.9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ht="21.9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ht="21.9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ht="21.9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ht="21.9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ht="21.9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ht="21.9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ht="21.9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21.9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ht="21.9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ht="21.9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ht="21.9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ht="21.9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ht="21.9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ht="21.9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ht="21.9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ht="21.9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ht="21.9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ht="21.9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ht="21.9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ht="21.9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ht="21.9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ht="21.9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ht="21.9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ht="21.9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ht="21.9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ht="21.9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ht="21.9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ht="21.9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ht="21.9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ht="21.9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ht="21.9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ht="21.9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ht="21.9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ht="21.9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ht="21.9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ht="21.9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ht="21.9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ht="21.9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ht="21.9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ht="21.9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ht="21.9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ht="21.9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ht="21.9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ht="21.9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ht="21.9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ht="21.9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ht="21.9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ht="21.9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ht="21.9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ht="21.9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ht="21.9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ht="21.9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ht="21.9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ht="21.9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ht="21.9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21.9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ht="21.9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ht="21.9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ht="21.9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ht="21.9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ht="21.9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ht="21.9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ht="21.9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ht="21.9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ht="21.9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ht="21.9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ht="21.9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ht="21.9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ht="21.9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ht="21.9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ht="21.9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ht="21.9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ht="21.9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ht="21.9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ht="21.9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ht="21.9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21.9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ht="21.9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ht="21.9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ht="21.9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ht="21.9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ht="21.9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ht="21.9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ht="21.9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ht="21.9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ht="21.9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ht="21.9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ht="21.9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ht="21.9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ht="21.9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ht="21.9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ht="21.9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ht="21.9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ht="21.9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ht="21.9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ht="21.9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ht="21.9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ht="21.9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ht="21.9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ht="21.9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ht="21.9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ht="21.9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ht="21.9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ht="21.9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ht="21.9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ht="21.9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ht="21.9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ht="21.9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ht="21.9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ht="21.9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ht="21.9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ht="21.9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ht="21.9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ht="21.9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ht="21.9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ht="21.9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ht="21.9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ht="21.9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ht="21.9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ht="21.9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ht="21.9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ht="21.9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ht="21.9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ht="21.9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ht="21.9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ht="21.9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ht="21.9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ht="21.9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ht="21.9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ht="21.9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ht="21.9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ht="21.9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ht="21.9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ht="21.9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ht="21.9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ht="21.9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ht="21.9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ht="21.9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ht="21.9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ht="21.9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ht="21.9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ht="21.9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ht="21.9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ht="21.9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ht="21.9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ht="21.9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ht="21.9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ht="21.9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ht="21.9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ht="21.9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ht="21.9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ht="21.9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ht="21.9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ht="21.9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ht="21.9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ht="21.9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ht="21.9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ht="21.9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ht="21.9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ht="21.9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ht="21.9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21.9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ht="21.9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ht="21.9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ht="21.9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ht="21.9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ht="21.9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ht="21.9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ht="21.9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ht="21.9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ht="21.9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ht="21.9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ht="21.9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ht="21.9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ht="21.9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ht="21.9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ht="21.9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ht="21.9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ht="21.9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ht="21.9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ht="21.9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ht="21.9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ht="21.9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ht="21.9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ht="21.9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ht="21.9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ht="21.9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21.9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ht="21.9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ht="21.9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ht="21.9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ht="21.9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ht="21.9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ht="21.9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ht="21.9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ht="21.9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ht="21.9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ht="21.9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ht="21.9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ht="21.9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ht="21.9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ht="21.9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ht="21.9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ht="21.9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ht="21.9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ht="21.9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ht="21.9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ht="21.9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ht="21.9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ht="21.9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ht="21.9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ht="21.9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ht="21.9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ht="21.9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ht="21.9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ht="21.9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ht="21.9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ht="21.9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ht="21.9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ht="21.9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ht="21.9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ht="21.9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ht="21.9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ht="21.9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ht="21.9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ht="21.9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ht="21.9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ht="21.9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ht="21.9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ht="21.9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ht="21.9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ht="21.9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ht="21.9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ht="21.9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ht="21.9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ht="21.9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ht="21.9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ht="21.9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ht="21.9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ht="21.9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ht="21.9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ht="21.9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ht="21.9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ht="21.9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ht="21.9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ht="21.9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ht="21.9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ht="21.9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ht="21.9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ht="21.9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ht="21.9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ht="21.9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ht="21.9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ht="21.9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ht="21.9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ht="21.9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ht="21.9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ht="21.9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ht="21.9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ht="21.9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ht="21.9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ht="21.9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ht="21.9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ht="21.9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ht="21.9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ht="21.9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ht="21.9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ht="21.9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ht="21.9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ht="21.9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ht="21.9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ht="21.9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ht="21.9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ht="21.9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ht="21.9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ht="21.9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ht="21.9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ht="21.9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ht="21.9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ht="21.9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ht="21.9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ht="21.9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ht="21.9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ht="21.9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ht="21.9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ht="21.9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ht="21.9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ht="21.9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ht="21.9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ht="21.9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ht="21.9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ht="21.9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ht="21.9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ht="21.9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ht="21.9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ht="21.9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ht="21.9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ht="21.9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ht="21.9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ht="21.9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ht="21.9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ht="21.9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ht="21.9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ht="21.9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ht="21.9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ht="21.9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ht="21.9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ht="21.9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ht="21.9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ht="21.9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ht="21.9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ht="21.9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ht="21.9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ht="21.9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ht="21.9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ht="21.9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ht="21.9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ht="21.9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ht="21.9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ht="21.9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ht="21.9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ht="21.9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ht="21.9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ht="21.9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ht="21.9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ht="21.9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ht="21.9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ht="21.9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ht="21.9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ht="21.9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ht="21.9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ht="21.9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ht="21.9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ht="21.9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ht="21.9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ht="21.9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ht="21.9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ht="21.9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ht="21.9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ht="21.9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ht="21.9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ht="21.9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ht="21.9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ht="21.9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ht="21.9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ht="21.95" customHeight="1" x14ac:dyDescent="0.2"/>
    <row r="618" spans="1:12" ht="21.95" customHeight="1" x14ac:dyDescent="0.2"/>
    <row r="619" spans="1:12" ht="21.95" customHeight="1" x14ac:dyDescent="0.2"/>
    <row r="620" spans="1:12" ht="21.95" customHeight="1" x14ac:dyDescent="0.2"/>
    <row r="621" spans="1:12" ht="21.95" customHeight="1" x14ac:dyDescent="0.2"/>
    <row r="622" spans="1:12" ht="21.95" customHeight="1" x14ac:dyDescent="0.2"/>
    <row r="623" spans="1:12" ht="21.95" customHeight="1" x14ac:dyDescent="0.2"/>
    <row r="624" spans="1:12" ht="21.95" customHeight="1" x14ac:dyDescent="0.2"/>
    <row r="625" ht="21.95" customHeight="1" x14ac:dyDescent="0.2"/>
    <row r="626" ht="21.95" customHeight="1" x14ac:dyDescent="0.2"/>
    <row r="627" ht="21.95" customHeight="1" x14ac:dyDescent="0.2"/>
    <row r="628" ht="21.95" customHeight="1" x14ac:dyDescent="0.2"/>
    <row r="629" ht="21.95" customHeight="1" x14ac:dyDescent="0.2"/>
    <row r="630" ht="21.95" customHeight="1" x14ac:dyDescent="0.2"/>
    <row r="631" ht="21.95" customHeight="1" x14ac:dyDescent="0.2"/>
    <row r="632" ht="21.95" customHeight="1" x14ac:dyDescent="0.2"/>
    <row r="633" ht="21.95" customHeight="1" x14ac:dyDescent="0.2"/>
    <row r="634" ht="21.95" customHeight="1" x14ac:dyDescent="0.2"/>
    <row r="635" ht="21.95" customHeight="1" x14ac:dyDescent="0.2"/>
    <row r="636" ht="21.95" customHeight="1" x14ac:dyDescent="0.2"/>
    <row r="637" ht="21.95" customHeight="1" x14ac:dyDescent="0.2"/>
    <row r="638" ht="21.95" customHeight="1" x14ac:dyDescent="0.2"/>
    <row r="639" ht="21.95" customHeight="1" x14ac:dyDescent="0.2"/>
    <row r="640" ht="21.95" customHeight="1" x14ac:dyDescent="0.2"/>
    <row r="641" ht="21.95" customHeight="1" x14ac:dyDescent="0.2"/>
    <row r="642" ht="21.95" customHeight="1" x14ac:dyDescent="0.2"/>
    <row r="643" ht="21.95" customHeight="1" x14ac:dyDescent="0.2"/>
    <row r="644" ht="21.95" customHeight="1" x14ac:dyDescent="0.2"/>
    <row r="645" ht="21.95" customHeight="1" x14ac:dyDescent="0.2"/>
    <row r="646" ht="21.95" customHeight="1" x14ac:dyDescent="0.2"/>
    <row r="647" ht="21.95" customHeight="1" x14ac:dyDescent="0.2"/>
    <row r="648" ht="21.95" customHeight="1" x14ac:dyDescent="0.2"/>
    <row r="649" ht="21.95" customHeight="1" x14ac:dyDescent="0.2"/>
    <row r="650" ht="21.95" customHeight="1" x14ac:dyDescent="0.2"/>
    <row r="651" ht="21.95" customHeight="1" x14ac:dyDescent="0.2"/>
    <row r="652" ht="21.95" customHeight="1" x14ac:dyDescent="0.2"/>
    <row r="653" ht="21.95" customHeight="1" x14ac:dyDescent="0.2"/>
    <row r="654" ht="21.95" customHeight="1" x14ac:dyDescent="0.2"/>
    <row r="655" ht="21.95" customHeight="1" x14ac:dyDescent="0.2"/>
    <row r="656" ht="21.95" customHeight="1" x14ac:dyDescent="0.2"/>
    <row r="657" ht="21.95" customHeight="1" x14ac:dyDescent="0.2"/>
    <row r="658" ht="21.95" customHeight="1" x14ac:dyDescent="0.2"/>
    <row r="659" ht="21.95" customHeight="1" x14ac:dyDescent="0.2"/>
    <row r="660" ht="21.95" customHeight="1" x14ac:dyDescent="0.2"/>
    <row r="661" ht="21.95" customHeight="1" x14ac:dyDescent="0.2"/>
    <row r="662" ht="21.95" customHeight="1" x14ac:dyDescent="0.2"/>
    <row r="663" ht="21.95" customHeight="1" x14ac:dyDescent="0.2"/>
    <row r="664" ht="21.95" customHeight="1" x14ac:dyDescent="0.2"/>
    <row r="665" ht="21.95" customHeight="1" x14ac:dyDescent="0.2"/>
    <row r="666" ht="21.95" customHeight="1" x14ac:dyDescent="0.2"/>
    <row r="667" ht="21.95" customHeight="1" x14ac:dyDescent="0.2"/>
    <row r="668" ht="21.95" customHeight="1" x14ac:dyDescent="0.2"/>
    <row r="669" ht="21.95" customHeight="1" x14ac:dyDescent="0.2"/>
    <row r="670" ht="21.95" customHeight="1" x14ac:dyDescent="0.2"/>
    <row r="671" ht="21.95" customHeight="1" x14ac:dyDescent="0.2"/>
    <row r="672" ht="21.95" customHeight="1" x14ac:dyDescent="0.2"/>
    <row r="673" ht="21.95" customHeight="1" x14ac:dyDescent="0.2"/>
    <row r="674" ht="21.95" customHeight="1" x14ac:dyDescent="0.2"/>
    <row r="675" ht="21.95" customHeight="1" x14ac:dyDescent="0.2"/>
    <row r="676" ht="21.95" customHeight="1" x14ac:dyDescent="0.2"/>
    <row r="677" ht="21.95" customHeight="1" x14ac:dyDescent="0.2"/>
    <row r="678" ht="21.95" customHeight="1" x14ac:dyDescent="0.2"/>
    <row r="679" ht="21.95" customHeight="1" x14ac:dyDescent="0.2"/>
    <row r="680" ht="21.95" customHeight="1" x14ac:dyDescent="0.2"/>
    <row r="681" ht="21.95" customHeight="1" x14ac:dyDescent="0.2"/>
    <row r="682" ht="21.95" customHeight="1" x14ac:dyDescent="0.2"/>
    <row r="683" ht="21.95" customHeight="1" x14ac:dyDescent="0.2"/>
    <row r="684" ht="21.95" customHeight="1" x14ac:dyDescent="0.2"/>
    <row r="685" ht="21.95" customHeight="1" x14ac:dyDescent="0.2"/>
    <row r="686" ht="21.95" customHeight="1" x14ac:dyDescent="0.2"/>
  </sheetData>
  <mergeCells count="13">
    <mergeCell ref="A180:C180"/>
    <mergeCell ref="E180:G180"/>
    <mergeCell ref="A1:G1"/>
    <mergeCell ref="D2:E2"/>
    <mergeCell ref="A4:G4"/>
    <mergeCell ref="A5:G5"/>
    <mergeCell ref="A6:G6"/>
    <mergeCell ref="A7:E7"/>
    <mergeCell ref="A9:C9"/>
    <mergeCell ref="A35:C35"/>
    <mergeCell ref="E176:G176"/>
    <mergeCell ref="A177:C177"/>
    <mergeCell ref="E177:G177"/>
  </mergeCells>
  <pageMargins left="0.28000000000000003" right="0.34" top="0.39" bottom="0.38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 thu-chi TC (31-8) 2019-2020</vt:lpstr>
    </vt:vector>
  </TitlesOfParts>
  <Company>MN_TUOINGOC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DANH</dc:creator>
  <cp:lastModifiedBy>Admin</cp:lastModifiedBy>
  <cp:lastPrinted>2020-10-05T11:22:12Z</cp:lastPrinted>
  <dcterms:created xsi:type="dcterms:W3CDTF">2015-05-11T03:31:39Z</dcterms:created>
  <dcterms:modified xsi:type="dcterms:W3CDTF">2020-10-06T09:59:31Z</dcterms:modified>
</cp:coreProperties>
</file>